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95" windowWidth="13605" windowHeight="4680" activeTab="0"/>
  </bookViews>
  <sheets>
    <sheet name="Με Προφορικό &amp; Γραπτό Βαθμό" sheetId="1" r:id="rId1"/>
    <sheet name="Βοηθ" sheetId="2" state="hidden" r:id="rId2"/>
    <sheet name="Με Βαθμό Πρόσβασης Μαθήματος" sheetId="3" r:id="rId3"/>
    <sheet name="Προσ" sheetId="4" state="hidden" r:id="rId4"/>
  </sheets>
  <definedNames>
    <definedName name="Z_212A0A96_D9FA_494F_ABE0_1CF5E84657E3_.wvu.FilterData" localSheetId="0" hidden="1">'Με Προφορικό &amp; Γραπτό Βαθμό'!$D$12:$D$16</definedName>
  </definedNames>
  <calcPr fullCalcOnLoad="1"/>
</workbook>
</file>

<file path=xl/comments1.xml><?xml version="1.0" encoding="utf-8"?>
<comments xmlns="http://schemas.openxmlformats.org/spreadsheetml/2006/main">
  <authors>
    <author>Thetakis</author>
  </authors>
  <commentList>
    <comment ref="D5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D7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4</t>
        </r>
      </text>
    </comment>
    <comment ref="G5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D4,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D6,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προφορικούς βαθμούς Α΄ και Β΄ τετραμήνου και τους βαθμούς από τα γραπτά μας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
</t>
        </r>
        <r>
          <rPr>
            <b/>
            <sz val="14"/>
            <color indexed="10"/>
            <rFont val="Tahoma"/>
            <family val="2"/>
          </rPr>
          <t>5.</t>
        </r>
        <r>
          <rPr>
            <b/>
            <i/>
            <sz val="14"/>
            <color indexed="18"/>
            <rFont val="Tahoma"/>
            <family val="2"/>
          </rPr>
          <t xml:space="preserve"> Παραλείψεις, λάθη, παρατηρήσεις,  που τυχόν προκύψουν, θα συμπεριληφθούν στο site του Kέντρου: </t>
        </r>
        <r>
          <rPr>
            <b/>
            <u val="single"/>
            <sz val="14"/>
            <color indexed="18"/>
            <rFont val="Tahoma"/>
            <family val="2"/>
          </rPr>
          <t>http://kesyp-agr.ait.sch.gr</t>
        </r>
      </text>
    </comment>
  </commentList>
</comments>
</file>

<file path=xl/comments3.xml><?xml version="1.0" encoding="utf-8"?>
<comments xmlns="http://schemas.openxmlformats.org/spreadsheetml/2006/main">
  <authors>
    <author>Thetakis</author>
  </authors>
  <commentList>
    <comment ref="E5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Κατεύθυνση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την Κατεύθυνση που σας ενδιαφέρει)</t>
        </r>
        <r>
          <rPr>
            <b/>
            <sz val="12"/>
            <color indexed="18"/>
            <rFont val="Tahoma"/>
            <family val="2"/>
          </rPr>
          <t xml:space="preserve">
Θεωρητική</t>
        </r>
        <r>
          <rPr>
            <b/>
            <sz val="12"/>
            <color indexed="1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10"/>
            <rFont val="Tahoma"/>
            <family val="2"/>
          </rPr>
          <t xml:space="preserve">     </t>
        </r>
        <r>
          <rPr>
            <b/>
            <sz val="14"/>
            <color indexed="10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1</t>
        </r>
        <r>
          <rPr>
            <b/>
            <sz val="12"/>
            <color indexed="18"/>
            <rFont val="Tahoma"/>
            <family val="2"/>
          </rPr>
          <t xml:space="preserve">
Θετική</t>
        </r>
        <r>
          <rPr>
            <b/>
            <sz val="12"/>
            <color indexed="60"/>
            <rFont val="Tahoma"/>
            <family val="2"/>
          </rPr>
          <t xml:space="preserve">  </t>
        </r>
        <r>
          <rPr>
            <b/>
            <sz val="12"/>
            <color indexed="18"/>
            <rFont val="Tahoma"/>
            <family val="2"/>
          </rPr>
          <t>το:</t>
        </r>
        <r>
          <rPr>
            <b/>
            <sz val="12"/>
            <color indexed="60"/>
            <rFont val="Tahoma"/>
            <family val="2"/>
          </rPr>
          <t xml:space="preserve">              </t>
        </r>
        <r>
          <rPr>
            <b/>
            <sz val="14"/>
            <color indexed="18"/>
            <rFont val="Tahoma"/>
            <family val="2"/>
          </rPr>
          <t>2</t>
        </r>
        <r>
          <rPr>
            <b/>
            <sz val="12"/>
            <color indexed="60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Τεχνολογική (Κύκλος Πληροφορικής) το: </t>
        </r>
        <r>
          <rPr>
            <b/>
            <sz val="14"/>
            <color indexed="18"/>
            <rFont val="Tahoma"/>
            <family val="2"/>
          </rPr>
          <t>3</t>
        </r>
        <r>
          <rPr>
            <b/>
            <sz val="12"/>
            <color indexed="18"/>
            <rFont val="Tahoma"/>
            <family val="2"/>
          </rPr>
          <t xml:space="preserve">
Τεχνολογική (Κύκλος Τεχνολογίας) το:</t>
        </r>
        <r>
          <rPr>
            <b/>
            <sz val="12"/>
            <color indexed="53"/>
            <rFont val="Tahoma"/>
            <family val="2"/>
          </rPr>
          <t xml:space="preserve">  </t>
        </r>
        <r>
          <rPr>
            <b/>
            <sz val="14"/>
            <color indexed="18"/>
            <rFont val="Tahoma"/>
            <family val="2"/>
          </rPr>
          <t>4</t>
        </r>
      </text>
    </comment>
    <comment ref="E7" authorId="0">
      <text>
        <r>
          <rPr>
            <b/>
            <u val="single"/>
            <sz val="12"/>
            <color indexed="18"/>
            <rFont val="Tahoma"/>
            <family val="2"/>
          </rPr>
          <t xml:space="preserve">Μάθημα επιλογής
</t>
        </r>
        <r>
          <rPr>
            <i/>
            <sz val="12"/>
            <rFont val="Tahoma"/>
            <family val="2"/>
          </rPr>
          <t>(</t>
        </r>
        <r>
          <rPr>
            <b/>
            <i/>
            <sz val="12"/>
            <rFont val="Tahoma"/>
            <family val="2"/>
          </rPr>
          <t>επιλέξτε τον αριθμό για το μάθημα που σας ενδιαφέρει)</t>
        </r>
        <r>
          <rPr>
            <b/>
            <sz val="12"/>
            <rFont val="Tahoma"/>
            <family val="2"/>
          </rPr>
          <t xml:space="preserve">:
</t>
        </r>
        <r>
          <rPr>
            <b/>
            <sz val="12"/>
            <color indexed="18"/>
            <rFont val="Tahoma"/>
            <family val="2"/>
          </rPr>
          <t xml:space="preserve">Νεότερη Ελληνική Ιστορία: </t>
        </r>
        <r>
          <rPr>
            <b/>
            <sz val="12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>1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Μαθηματικά και Στοιχεία Στατιστικής:</t>
        </r>
        <r>
          <rPr>
            <b/>
            <sz val="12"/>
            <rFont val="Tahoma"/>
            <family val="2"/>
          </rPr>
          <t xml:space="preserve">  </t>
        </r>
        <r>
          <rPr>
            <b/>
            <sz val="14"/>
            <rFont val="Tahoma"/>
            <family val="2"/>
          </rPr>
          <t>2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 xml:space="preserve">Βιολογία: </t>
        </r>
        <r>
          <rPr>
            <b/>
            <sz val="14"/>
            <rFont val="Tahoma"/>
            <family val="2"/>
          </rPr>
          <t xml:space="preserve"> 3</t>
        </r>
        <r>
          <rPr>
            <b/>
            <sz val="12"/>
            <rFont val="Tahoma"/>
            <family val="2"/>
          </rPr>
          <t xml:space="preserve">
</t>
        </r>
        <r>
          <rPr>
            <b/>
            <sz val="12"/>
            <color indexed="18"/>
            <rFont val="Tahoma"/>
            <family val="2"/>
          </rPr>
          <t>Φυσική:</t>
        </r>
        <r>
          <rPr>
            <b/>
            <sz val="12"/>
            <color indexed="10"/>
            <rFont val="Tahoma"/>
            <family val="2"/>
          </rPr>
          <t xml:space="preserve"> </t>
        </r>
        <r>
          <rPr>
            <b/>
            <sz val="14"/>
            <rFont val="Tahoma"/>
            <family val="2"/>
          </rPr>
          <t xml:space="preserve"> 4</t>
        </r>
      </text>
    </comment>
    <comment ref="G5" authorId="0">
      <text>
        <r>
          <rPr>
            <b/>
            <sz val="14"/>
            <color indexed="10"/>
            <rFont val="Tahoma"/>
            <family val="2"/>
          </rPr>
          <t>1.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D4,  αριθμό από 1 - 4,  ανάλογα με την κατεύθυνση που είμαστε.
</t>
        </r>
        <r>
          <rPr>
            <b/>
            <sz val="14"/>
            <color indexed="10"/>
            <rFont val="Tahoma"/>
            <family val="2"/>
          </rPr>
          <t>2.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στο κελί D6, αριθμό από 1 - 4, ανάλογα με το έκτο μάθημα που έχουμε επιλέξει για τις εξετάσεις.
</t>
        </r>
        <r>
          <rPr>
            <b/>
            <sz val="14"/>
            <color indexed="10"/>
            <rFont val="Tahoma"/>
            <family val="2"/>
          </rPr>
          <t>3.</t>
        </r>
        <r>
          <rPr>
            <b/>
            <i/>
            <sz val="14"/>
            <color indexed="18"/>
            <rFont val="Tahoma"/>
            <family val="2"/>
          </rPr>
          <t xml:space="preserve"> Τοποθετούμε τους βαθμούς Πρόσβασης Μαθήματος στα αντίστοιχα κελιά.
</t>
        </r>
        <r>
          <rPr>
            <b/>
            <sz val="14"/>
            <color indexed="10"/>
            <rFont val="Tahoma"/>
            <family val="2"/>
          </rPr>
          <t>4.</t>
        </r>
        <r>
          <rPr>
            <b/>
            <i/>
            <sz val="14"/>
            <color indexed="18"/>
            <rFont val="Tahoma"/>
            <family val="2"/>
          </rPr>
          <t xml:space="preserve"> Στην ένδειξη </t>
        </r>
        <r>
          <rPr>
            <b/>
            <i/>
            <sz val="16"/>
            <color indexed="10"/>
            <rFont val="Tahoma"/>
            <family val="2"/>
          </rPr>
          <t>Μόρια</t>
        </r>
        <r>
          <rPr>
            <b/>
            <i/>
            <sz val="14"/>
            <color indexed="18"/>
            <rFont val="Tahoma"/>
            <family val="2"/>
          </rPr>
          <t xml:space="preserve"> έχουμε τα μόρια στο κάθε επιστημονικό πεδίο που είμαστε σε θέση να δηλώσουμε.
</t>
        </r>
        <r>
          <rPr>
            <b/>
            <sz val="14"/>
            <color indexed="10"/>
            <rFont val="Tahoma"/>
            <family val="2"/>
          </rPr>
          <t>5.</t>
        </r>
        <r>
          <rPr>
            <b/>
            <i/>
            <sz val="14"/>
            <color indexed="18"/>
            <rFont val="Tahoma"/>
            <family val="2"/>
          </rPr>
          <t xml:space="preserve"> Παραλείψεις, λάθη, παρατηρήσεις,  που τυχόν προκύψουν, θα συμπεριληφθούν στο site του Kέντρου: </t>
        </r>
        <r>
          <rPr>
            <b/>
            <u val="single"/>
            <sz val="14"/>
            <color indexed="18"/>
            <rFont val="Tahoma"/>
            <family val="2"/>
          </rPr>
          <t>http://kesyp-agr.ait.sch.gr</t>
        </r>
      </text>
    </comment>
  </commentList>
</comments>
</file>

<file path=xl/sharedStrings.xml><?xml version="1.0" encoding="utf-8"?>
<sst xmlns="http://schemas.openxmlformats.org/spreadsheetml/2006/main" count="44" uniqueCount="27">
  <si>
    <t>Επιλογή Κατεύθυνσης</t>
  </si>
  <si>
    <t>Επιλογή Μαθήματος</t>
  </si>
  <si>
    <t>Α/Α</t>
  </si>
  <si>
    <t>Μάθημα</t>
  </si>
  <si>
    <t>Γραπτά</t>
  </si>
  <si>
    <t>Βαθμός Πρόσβασης Μαθήματος</t>
  </si>
  <si>
    <t xml:space="preserve">Νεοελληνική Γλώσσα </t>
  </si>
  <si>
    <t>Αρχές Οικονομικής Θεωρίας</t>
  </si>
  <si>
    <t>ΓΕΝΙΚΟΣ ΒΑΘΜΟΣ ΠΡΟΣΒΑΣΗΣ:</t>
  </si>
  <si>
    <t>Μαθήματα Αυξημένης Βαρύτητας</t>
  </si>
  <si>
    <t>Θεωρητική Κατεύθυνση</t>
  </si>
  <si>
    <t>Θετική Κατεύθυνση</t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</si>
  <si>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Πληροφορικής)</t>
    </r>
  </si>
  <si>
    <r>
      <t xml:space="preserve">Τεχνολογική Κατεύθυνση </t>
    </r>
    <r>
      <rPr>
        <b/>
        <i/>
        <sz val="10"/>
        <color indexed="18"/>
        <rFont val="Arial"/>
        <family val="2"/>
      </rPr>
      <t>(Κύκλος Τεχνολογίας)</t>
    </r>
  </si>
  <si>
    <t>Μόρια</t>
  </si>
  <si>
    <t>Μαθήματα γενικής παιδείας</t>
  </si>
  <si>
    <t>Προφορικός Α'  Τετραμήνου</t>
  </si>
  <si>
    <t>Προφορικός Β' Τετραμήνου</t>
  </si>
  <si>
    <t>Προσαρμογή Προφορικού</t>
  </si>
  <si>
    <t>Μ.Ο</t>
  </si>
  <si>
    <t>Μάθημα Επιλογής Προαιρετικά Εξεταζόμενο σε Εθνικό Επίπεδο</t>
  </si>
  <si>
    <t>Π</t>
  </si>
  <si>
    <t>Μόρια Γεν.Βαθ.Προσ.</t>
  </si>
  <si>
    <t xml:space="preserve">Υπολογισμός Μορίων </t>
  </si>
  <si>
    <t>Υπολογισμός Μορίων</t>
  </si>
  <si>
    <r>
      <t>Οδηγίες</t>
    </r>
    <r>
      <rPr>
        <b/>
        <sz val="16"/>
        <color indexed="10"/>
        <rFont val="Verdana"/>
        <family val="2"/>
      </rPr>
      <t xml:space="preserve">           </t>
    </r>
    <r>
      <rPr>
        <b/>
        <sz val="11"/>
        <color indexed="18"/>
        <rFont val="Verdana"/>
        <family val="2"/>
      </rPr>
      <t>Χωρίς Προφορικό &amp; Γραπτό Βαθμό</t>
    </r>
  </si>
  <si>
    <r>
      <t>Οδηγίες</t>
    </r>
    <r>
      <rPr>
        <b/>
        <sz val="16"/>
        <color indexed="10"/>
        <rFont val="Verdana"/>
        <family val="2"/>
      </rPr>
      <t xml:space="preserve">           </t>
    </r>
    <r>
      <rPr>
        <b/>
        <sz val="11"/>
        <color indexed="18"/>
        <rFont val="Verdana"/>
        <family val="2"/>
      </rPr>
      <t>Με Προφορικό &amp; Γραπτό Βαθμό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</si>
</sst>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color indexed="18"/>
      <name val="Tahoma"/>
      <family val="2"/>
    </font>
    <font>
      <b/>
      <sz val="12"/>
      <color indexed="18"/>
      <name val="Tahoma"/>
      <family val="2"/>
    </font>
    <font>
      <b/>
      <u val="single"/>
      <sz val="12"/>
      <color indexed="18"/>
      <name val="Tahoma"/>
      <family val="2"/>
    </font>
    <font>
      <b/>
      <sz val="12"/>
      <color indexed="10"/>
      <name val="Tahoma"/>
      <family val="2"/>
    </font>
    <font>
      <b/>
      <sz val="12"/>
      <color indexed="60"/>
      <name val="Tahoma"/>
      <family val="2"/>
    </font>
    <font>
      <b/>
      <sz val="12"/>
      <color indexed="53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i/>
      <sz val="12"/>
      <name val="Tahoma"/>
      <family val="2"/>
    </font>
    <font>
      <sz val="10"/>
      <color indexed="18"/>
      <name val="Tahoma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ial"/>
      <family val="2"/>
    </font>
    <font>
      <b/>
      <i/>
      <sz val="10"/>
      <color indexed="18"/>
      <name val="Arial"/>
      <family val="2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4"/>
      <color indexed="18"/>
      <name val="Tahoma"/>
      <family val="2"/>
    </font>
    <font>
      <b/>
      <sz val="20"/>
      <color indexed="18"/>
      <name val="Times New Roman"/>
      <family val="1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16"/>
      <color indexed="10"/>
      <name val="Verdana"/>
      <family val="2"/>
    </font>
    <font>
      <b/>
      <i/>
      <sz val="14"/>
      <color indexed="18"/>
      <name val="Tahoma"/>
      <family val="2"/>
    </font>
    <font>
      <b/>
      <u val="single"/>
      <sz val="14"/>
      <color indexed="18"/>
      <name val="Tahoma"/>
      <family val="2"/>
    </font>
    <font>
      <b/>
      <sz val="14"/>
      <color indexed="10"/>
      <name val="Arial"/>
      <family val="2"/>
    </font>
    <font>
      <b/>
      <i/>
      <sz val="16"/>
      <color indexed="10"/>
      <name val="Tahoma"/>
      <family val="2"/>
    </font>
    <font>
      <b/>
      <sz val="16"/>
      <color indexed="10"/>
      <name val="Tahoma"/>
      <family val="2"/>
    </font>
    <font>
      <b/>
      <sz val="11"/>
      <color indexed="18"/>
      <name val="Tahoma"/>
      <family val="2"/>
    </font>
    <font>
      <sz val="11"/>
      <name val="Tahoma"/>
      <family val="2"/>
    </font>
    <font>
      <b/>
      <sz val="11"/>
      <color indexed="18"/>
      <name val="Verdana"/>
      <family val="2"/>
    </font>
    <font>
      <b/>
      <sz val="18"/>
      <color indexed="10"/>
      <name val="Verdana"/>
      <family val="2"/>
    </font>
    <font>
      <b/>
      <sz val="10"/>
      <color indexed="18"/>
      <name val="Times New Roman"/>
      <family val="1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>
        <color indexed="16"/>
      </top>
      <bottom>
        <color indexed="63"/>
      </bottom>
    </border>
    <border>
      <left style="double"/>
      <right>
        <color indexed="63"/>
      </right>
      <top style="medium">
        <color indexed="16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double"/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 style="medium">
        <color indexed="16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double"/>
      <bottom>
        <color indexed="63"/>
      </bottom>
    </border>
    <border>
      <left style="medium">
        <color indexed="16"/>
      </left>
      <right style="double"/>
      <top>
        <color indexed="63"/>
      </top>
      <bottom style="medium">
        <color indexed="16"/>
      </bottom>
    </border>
    <border>
      <left style="medium">
        <color indexed="16"/>
      </left>
      <right style="double"/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double"/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double"/>
    </border>
    <border>
      <left style="double"/>
      <right style="medium">
        <color indexed="16"/>
      </right>
      <top style="double"/>
      <bottom>
        <color indexed="63"/>
      </bottom>
    </border>
    <border>
      <left style="double"/>
      <right style="medium">
        <color indexed="16"/>
      </right>
      <top>
        <color indexed="63"/>
      </top>
      <bottom>
        <color indexed="63"/>
      </bottom>
    </border>
    <border>
      <left style="double"/>
      <right style="medium">
        <color indexed="16"/>
      </right>
      <top>
        <color indexed="63"/>
      </top>
      <bottom style="double"/>
    </border>
    <border>
      <left style="medium">
        <color indexed="16"/>
      </left>
      <right style="medium">
        <color indexed="16"/>
      </right>
      <top>
        <color indexed="63"/>
      </top>
      <bottom style="double"/>
    </border>
    <border>
      <left style="double"/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double"/>
      <top style="hair">
        <color indexed="16"/>
      </top>
      <bottom style="hair">
        <color indexed="16"/>
      </bottom>
    </border>
    <border>
      <left style="double"/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 style="hair">
        <color indexed="16"/>
      </top>
      <bottom style="double"/>
    </border>
    <border>
      <left style="thin">
        <color indexed="16"/>
      </left>
      <right style="double"/>
      <top style="hair">
        <color indexed="16"/>
      </top>
      <bottom style="double"/>
    </border>
    <border>
      <left style="thin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double"/>
      <right style="thin"/>
      <top style="double"/>
      <bottom style="double"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double"/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double"/>
      <top>
        <color indexed="63"/>
      </top>
      <bottom style="hair">
        <color indexed="16"/>
      </bottom>
    </border>
    <border>
      <left style="thin"/>
      <right style="thin">
        <color indexed="16"/>
      </right>
      <top>
        <color indexed="63"/>
      </top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hair">
        <color indexed="16"/>
      </bottom>
    </border>
    <border>
      <left style="thin"/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>
        <color indexed="16"/>
      </right>
      <top>
        <color indexed="63"/>
      </top>
      <bottom style="thin"/>
    </border>
    <border>
      <left style="thin">
        <color indexed="16"/>
      </left>
      <right style="thin"/>
      <top>
        <color indexed="63"/>
      </top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>
        <color indexed="63"/>
      </top>
      <bottom style="thin"/>
    </border>
    <border>
      <left style="thin">
        <color indexed="16"/>
      </left>
      <right style="thin">
        <color indexed="16"/>
      </right>
      <top style="thin"/>
      <bottom style="hair">
        <color indexed="16"/>
      </bottom>
    </border>
    <border>
      <left>
        <color indexed="63"/>
      </left>
      <right style="thin"/>
      <top style="hair">
        <color indexed="16"/>
      </top>
      <bottom>
        <color indexed="63"/>
      </bottom>
    </border>
    <border>
      <left>
        <color indexed="63"/>
      </left>
      <right style="thin"/>
      <top style="hair">
        <color indexed="16"/>
      </top>
      <bottom style="hair">
        <color indexed="16"/>
      </bottom>
    </border>
    <border>
      <left style="thin">
        <color indexed="16"/>
      </left>
      <right style="thin"/>
      <top style="thin"/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hair">
        <color indexed="16"/>
      </bottom>
    </border>
    <border>
      <left style="thin"/>
      <right style="thin">
        <color indexed="16"/>
      </right>
      <top style="thin"/>
      <bottom style="hair">
        <color indexed="16"/>
      </bottom>
    </border>
    <border>
      <left style="thin"/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double"/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16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16"/>
      </right>
      <top>
        <color indexed="63"/>
      </top>
      <bottom style="double"/>
    </border>
    <border>
      <left style="double"/>
      <right>
        <color indexed="63"/>
      </right>
      <top style="double"/>
      <bottom style="medium">
        <color indexed="16"/>
      </bottom>
    </border>
    <border>
      <left>
        <color indexed="63"/>
      </left>
      <right>
        <color indexed="63"/>
      </right>
      <top style="double"/>
      <bottom style="medium">
        <color indexed="16"/>
      </bottom>
    </border>
    <border>
      <left>
        <color indexed="63"/>
      </left>
      <right style="double"/>
      <top style="double"/>
      <bottom style="medium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thin">
        <color indexed="16"/>
      </left>
      <right style="thin"/>
      <top style="thin"/>
      <bottom style="hair">
        <color indexed="16"/>
      </bottom>
    </border>
    <border>
      <left style="thin">
        <color indexed="16"/>
      </left>
      <right style="thin"/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 style="thin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/>
      <top>
        <color indexed="63"/>
      </top>
      <bottom style="medium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3" fillId="0" borderId="6" xfId="0" applyFont="1" applyBorder="1" applyAlignment="1">
      <alignment horizontal="center"/>
    </xf>
    <xf numFmtId="0" fontId="13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3" xfId="0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0" fillId="0" borderId="30" xfId="0" applyFont="1" applyBorder="1" applyAlignment="1">
      <alignment/>
    </xf>
    <xf numFmtId="0" fontId="10" fillId="0" borderId="35" xfId="0" applyFont="1" applyBorder="1" applyAlignment="1">
      <alignment/>
    </xf>
    <xf numFmtId="0" fontId="19" fillId="2" borderId="3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10" fillId="0" borderId="3" xfId="0" applyFont="1" applyBorder="1" applyAlignment="1">
      <alignment/>
    </xf>
    <xf numFmtId="0" fontId="10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3" borderId="35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0" fillId="5" borderId="41" xfId="0" applyFill="1" applyBorder="1" applyAlignment="1">
      <alignment/>
    </xf>
    <xf numFmtId="0" fontId="31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2" fillId="6" borderId="47" xfId="0" applyFont="1" applyFill="1" applyBorder="1" applyAlignment="1" applyProtection="1">
      <alignment horizontal="center" vertical="center" wrapText="1"/>
      <protection/>
    </xf>
    <xf numFmtId="0" fontId="0" fillId="5" borderId="40" xfId="0" applyFill="1" applyBorder="1" applyAlignment="1">
      <alignment/>
    </xf>
    <xf numFmtId="0" fontId="2" fillId="6" borderId="47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vertical="center"/>
    </xf>
    <xf numFmtId="0" fontId="3" fillId="5" borderId="49" xfId="0" applyFont="1" applyFill="1" applyBorder="1" applyAlignment="1">
      <alignment/>
    </xf>
    <xf numFmtId="0" fontId="2" fillId="6" borderId="50" xfId="0" applyFont="1" applyFill="1" applyBorder="1" applyAlignment="1" applyProtection="1">
      <alignment horizontal="center" vertical="center" wrapText="1"/>
      <protection/>
    </xf>
    <xf numFmtId="0" fontId="2" fillId="5" borderId="51" xfId="0" applyFont="1" applyFill="1" applyBorder="1" applyAlignment="1">
      <alignment vertical="center"/>
    </xf>
    <xf numFmtId="0" fontId="2" fillId="5" borderId="52" xfId="0" applyFont="1" applyFill="1" applyBorder="1" applyAlignment="1">
      <alignment/>
    </xf>
    <xf numFmtId="0" fontId="3" fillId="5" borderId="53" xfId="0" applyFont="1" applyFill="1" applyBorder="1" applyAlignment="1">
      <alignment horizontal="center"/>
    </xf>
    <xf numFmtId="0" fontId="8" fillId="5" borderId="5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36" fillId="0" borderId="0" xfId="0" applyFont="1" applyBorder="1" applyAlignment="1">
      <alignment horizontal="left"/>
    </xf>
    <xf numFmtId="0" fontId="5" fillId="0" borderId="30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10" fillId="4" borderId="4" xfId="0" applyFont="1" applyFill="1" applyBorder="1" applyAlignment="1">
      <alignment/>
    </xf>
    <xf numFmtId="0" fontId="3" fillId="4" borderId="4" xfId="0" applyFont="1" applyFill="1" applyBorder="1" applyAlignment="1">
      <alignment horizontal="center"/>
    </xf>
    <xf numFmtId="0" fontId="20" fillId="4" borderId="56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5" fillId="0" borderId="43" xfId="0" applyFont="1" applyBorder="1" applyAlignment="1" applyProtection="1">
      <alignment horizontal="center"/>
      <protection/>
    </xf>
    <xf numFmtId="0" fontId="5" fillId="4" borderId="45" xfId="0" applyFont="1" applyFill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3" fillId="6" borderId="57" xfId="0" applyFont="1" applyFill="1" applyBorder="1" applyAlignment="1">
      <alignment horizontal="center"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0" fillId="5" borderId="0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6" borderId="47" xfId="0" applyFont="1" applyFill="1" applyBorder="1" applyAlignment="1" applyProtection="1">
      <alignment horizontal="center" vertical="center" wrapText="1"/>
      <protection/>
    </xf>
    <xf numFmtId="0" fontId="2" fillId="6" borderId="59" xfId="0" applyFont="1" applyFill="1" applyBorder="1" applyAlignment="1" applyProtection="1">
      <alignment horizontal="center" vertical="center" wrapText="1"/>
      <protection/>
    </xf>
    <xf numFmtId="0" fontId="3" fillId="5" borderId="4" xfId="0" applyFont="1" applyFill="1" applyBorder="1" applyAlignment="1">
      <alignment horizontal="center" vertical="center" textRotation="90" wrapText="1" shrinkToFit="1"/>
    </xf>
    <xf numFmtId="0" fontId="10" fillId="0" borderId="4" xfId="0" applyFont="1" applyBorder="1" applyAlignment="1">
      <alignment/>
    </xf>
    <xf numFmtId="0" fontId="2" fillId="0" borderId="60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9" fillId="3" borderId="64" xfId="0" applyFont="1" applyFill="1" applyBorder="1" applyAlignment="1">
      <alignment horizontal="center" vertical="center"/>
    </xf>
    <xf numFmtId="0" fontId="29" fillId="3" borderId="65" xfId="0" applyFont="1" applyFill="1" applyBorder="1" applyAlignment="1">
      <alignment horizontal="center" vertical="center"/>
    </xf>
    <xf numFmtId="0" fontId="29" fillId="3" borderId="66" xfId="0" applyFont="1" applyFill="1" applyBorder="1" applyAlignment="1">
      <alignment horizontal="center" vertical="center"/>
    </xf>
    <xf numFmtId="0" fontId="3" fillId="7" borderId="67" xfId="0" applyFont="1" applyFill="1" applyBorder="1" applyAlignment="1">
      <alignment horizontal="left"/>
    </xf>
    <xf numFmtId="0" fontId="3" fillId="7" borderId="68" xfId="0" applyFont="1" applyFill="1" applyBorder="1" applyAlignment="1">
      <alignment horizontal="left"/>
    </xf>
    <xf numFmtId="0" fontId="3" fillId="7" borderId="69" xfId="0" applyFont="1" applyFill="1" applyBorder="1" applyAlignment="1">
      <alignment horizontal="left"/>
    </xf>
    <xf numFmtId="0" fontId="3" fillId="6" borderId="47" xfId="0" applyFont="1" applyFill="1" applyBorder="1" applyAlignment="1" applyProtection="1">
      <alignment horizontal="center" vertical="center" wrapText="1"/>
      <protection/>
    </xf>
    <xf numFmtId="0" fontId="25" fillId="3" borderId="64" xfId="0" applyFont="1" applyFill="1" applyBorder="1" applyAlignment="1">
      <alignment horizontal="center" vertical="center"/>
    </xf>
    <xf numFmtId="0" fontId="25" fillId="3" borderId="65" xfId="0" applyFont="1" applyFill="1" applyBorder="1" applyAlignment="1">
      <alignment horizontal="center" vertical="center"/>
    </xf>
    <xf numFmtId="0" fontId="25" fillId="3" borderId="66" xfId="0" applyFont="1" applyFill="1" applyBorder="1" applyAlignment="1">
      <alignment horizontal="center" vertical="center"/>
    </xf>
    <xf numFmtId="0" fontId="2" fillId="6" borderId="70" xfId="0" applyFont="1" applyFill="1" applyBorder="1" applyAlignment="1" applyProtection="1">
      <alignment horizontal="center" vertical="center" wrapText="1"/>
      <protection/>
    </xf>
    <xf numFmtId="0" fontId="2" fillId="6" borderId="71" xfId="0" applyFont="1" applyFill="1" applyBorder="1" applyAlignment="1" applyProtection="1">
      <alignment horizontal="center" vertical="center" wrapText="1"/>
      <protection/>
    </xf>
    <xf numFmtId="0" fontId="3" fillId="5" borderId="51" xfId="0" applyFont="1" applyFill="1" applyBorder="1" applyAlignment="1">
      <alignment horizontal="left" vertical="center"/>
    </xf>
    <xf numFmtId="0" fontId="3" fillId="5" borderId="72" xfId="0" applyFont="1" applyFill="1" applyBorder="1" applyAlignment="1">
      <alignment horizontal="left" vertical="center"/>
    </xf>
    <xf numFmtId="0" fontId="3" fillId="5" borderId="48" xfId="0" applyFont="1" applyFill="1" applyBorder="1" applyAlignment="1">
      <alignment horizontal="left" vertical="center"/>
    </xf>
    <xf numFmtId="0" fontId="3" fillId="5" borderId="73" xfId="0" applyFont="1" applyFill="1" applyBorder="1" applyAlignment="1">
      <alignment horizontal="left"/>
    </xf>
    <xf numFmtId="0" fontId="3" fillId="5" borderId="49" xfId="0" applyFont="1" applyFill="1" applyBorder="1" applyAlignment="1">
      <alignment horizontal="left"/>
    </xf>
    <xf numFmtId="0" fontId="5" fillId="7" borderId="53" xfId="0" applyFont="1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0" fontId="16" fillId="5" borderId="4" xfId="0" applyFont="1" applyFill="1" applyBorder="1" applyAlignment="1">
      <alignment horizontal="center" vertical="center" textRotation="90" wrapText="1"/>
    </xf>
    <xf numFmtId="0" fontId="16" fillId="5" borderId="4" xfId="0" applyFont="1" applyFill="1" applyBorder="1" applyAlignment="1">
      <alignment horizontal="center" vertical="center" textRotation="90" wrapText="1" shrinkToFit="1"/>
    </xf>
    <xf numFmtId="0" fontId="32" fillId="7" borderId="74" xfId="0" applyFont="1" applyFill="1" applyBorder="1" applyAlignment="1">
      <alignment horizontal="left"/>
    </xf>
    <xf numFmtId="0" fontId="32" fillId="7" borderId="75" xfId="0" applyFont="1" applyFill="1" applyBorder="1" applyAlignment="1">
      <alignment horizontal="left"/>
    </xf>
    <xf numFmtId="0" fontId="5" fillId="7" borderId="53" xfId="0" applyFont="1" applyFill="1" applyBorder="1" applyAlignment="1">
      <alignment horizontal="right"/>
    </xf>
    <xf numFmtId="0" fontId="32" fillId="5" borderId="4" xfId="0" applyFont="1" applyFill="1" applyBorder="1" applyAlignment="1">
      <alignment horizontal="center" vertical="center" textRotation="90" wrapText="1" shrinkToFit="1"/>
    </xf>
    <xf numFmtId="0" fontId="33" fillId="0" borderId="4" xfId="0" applyFont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>
    <tabColor indexed="16"/>
  </sheetPr>
  <dimension ref="B2:J35"/>
  <sheetViews>
    <sheetView showGridLines="0" showRowColHeaders="0" showZeros="0" tabSelected="1" zoomScale="85" zoomScaleNormal="85" workbookViewId="0" topLeftCell="A3">
      <selection activeCell="G5" sqref="G5:H7"/>
    </sheetView>
  </sheetViews>
  <sheetFormatPr defaultColWidth="9.140625" defaultRowHeight="12.75"/>
  <cols>
    <col min="1" max="1" width="4.8515625" style="0" customWidth="1"/>
    <col min="2" max="2" width="12.140625" style="0" customWidth="1"/>
    <col min="3" max="3" width="26.00390625" style="0" customWidth="1"/>
    <col min="4" max="4" width="22.8515625" style="0" customWidth="1"/>
    <col min="5" max="5" width="22.421875" style="0" customWidth="1"/>
    <col min="6" max="6" width="9.421875" style="0" customWidth="1"/>
    <col min="7" max="7" width="12.7109375" style="0" customWidth="1"/>
    <col min="8" max="8" width="13.140625" style="0" customWidth="1"/>
    <col min="9" max="9" width="13.28125" style="0" customWidth="1"/>
  </cols>
  <sheetData>
    <row r="2" spans="2:3" ht="15.75">
      <c r="B2" s="88"/>
      <c r="C2" s="89"/>
    </row>
    <row r="3" spans="2:9" ht="25.5">
      <c r="B3" s="105" t="s">
        <v>23</v>
      </c>
      <c r="C3" s="105"/>
      <c r="D3" s="105"/>
      <c r="E3" s="105"/>
      <c r="F3" s="105"/>
      <c r="G3" s="105"/>
      <c r="H3" s="105"/>
      <c r="I3" s="105"/>
    </row>
    <row r="4" spans="2:9" ht="13.5" thickBot="1">
      <c r="B4" s="1"/>
      <c r="C4" s="1"/>
      <c r="D4" s="1"/>
      <c r="E4" s="1"/>
      <c r="F4" s="1"/>
      <c r="G4" s="1"/>
      <c r="H4" s="1"/>
      <c r="I4" s="1"/>
    </row>
    <row r="5" spans="2:8" s="3" customFormat="1" ht="16.5" thickBot="1" thickTop="1">
      <c r="B5" s="60"/>
      <c r="C5" s="52" t="s">
        <v>0</v>
      </c>
      <c r="D5" s="92">
        <v>1</v>
      </c>
      <c r="E5" s="60"/>
      <c r="F5" s="60"/>
      <c r="G5" s="107" t="s">
        <v>26</v>
      </c>
      <c r="H5" s="108"/>
    </row>
    <row r="6" spans="2:9" ht="16.5" customHeight="1" thickBot="1" thickTop="1">
      <c r="B6" s="1"/>
      <c r="C6" s="76">
        <f>IF(D5&lt;1,"ΛΑΘΟΣ ΕΠΙΛΟΓΗ ΑΡΙΘΜΟΥ από 1-4",IF(D5&gt;4,"ΛΑΘΟΣ ΕΠΙΛΟΓΗ ΑΡΙΘΜΟΥ από 1-4",IF(D7&lt;1,"ΛΑΘΟΣ ΕΠΙΛΟΓΗ ΑΡΙΘΜΟΥ από 1-4",IF(D7&gt;4,"ΛΑΘΟΣ ΕΠΙΛΟΓΗ ΑΡΙΘΜΟΥ από 1-4",))))</f>
        <v>0</v>
      </c>
      <c r="G6" s="109"/>
      <c r="H6" s="109"/>
      <c r="I6" s="1"/>
    </row>
    <row r="7" spans="2:9" s="3" customFormat="1" ht="16.5" thickBot="1" thickTop="1">
      <c r="B7" s="60"/>
      <c r="C7" s="52" t="s">
        <v>1</v>
      </c>
      <c r="D7" s="92">
        <v>2</v>
      </c>
      <c r="E7" s="60"/>
      <c r="F7" s="60"/>
      <c r="G7" s="109"/>
      <c r="H7" s="109"/>
      <c r="I7" s="60"/>
    </row>
    <row r="8" spans="2:9" s="3" customFormat="1" ht="11.25" customHeight="1" thickTop="1">
      <c r="B8" s="60"/>
      <c r="C8" s="6"/>
      <c r="D8" s="7"/>
      <c r="E8" s="60"/>
      <c r="F8" s="60"/>
      <c r="G8" s="60"/>
      <c r="H8" s="60"/>
      <c r="I8" s="60"/>
    </row>
    <row r="9" spans="3:9" s="3" customFormat="1" ht="18">
      <c r="C9" s="106" t="str">
        <f>IF(D5=1,"ΘΕΩΡΗΤΙΚΗ ΚΑΤΕΥΘΥΝΣΗ",IF(D5=2,"ΘΕΤΙΚΗ ΚΑΤΕΥΘΥΝΣΗ",IF(D5=3,"ΤΕΧΝΟΛΟΓΙΚΗ ΚΑΤΕΥΘΥΝΣΗ (Κύκλος Πληροφορικής)","ΤΕΧΝΟΛΟΓΙΚΗ ΚΑΤΕΥΘΥΝΣΗ (Κύκλος Τεχνολογίας)")))</f>
        <v>ΘΕΩΡΗΤΙΚΗ ΚΑΤΕΥΘΥΝΣΗ</v>
      </c>
      <c r="D9" s="106"/>
      <c r="E9" s="106"/>
      <c r="F9" s="106"/>
      <c r="G9" s="60"/>
      <c r="H9" s="60"/>
      <c r="I9" s="60"/>
    </row>
    <row r="10" spans="2:9" ht="6.75" customHeight="1">
      <c r="B10" s="1"/>
      <c r="C10" s="1"/>
      <c r="D10" s="2"/>
      <c r="E10" s="1"/>
      <c r="F10" s="1"/>
      <c r="G10" s="1"/>
      <c r="H10" s="1"/>
      <c r="I10" s="1"/>
    </row>
    <row r="11" spans="2:10" s="4" customFormat="1" ht="25.5">
      <c r="B11" s="103" t="s">
        <v>2</v>
      </c>
      <c r="C11" s="80" t="s">
        <v>3</v>
      </c>
      <c r="D11" s="78" t="s">
        <v>16</v>
      </c>
      <c r="E11" s="78" t="s">
        <v>17</v>
      </c>
      <c r="F11" s="124" t="s">
        <v>19</v>
      </c>
      <c r="G11" s="110" t="s">
        <v>4</v>
      </c>
      <c r="H11" s="110" t="s">
        <v>18</v>
      </c>
      <c r="I11" s="128" t="s">
        <v>5</v>
      </c>
      <c r="J11" s="8"/>
    </row>
    <row r="12" spans="2:10" ht="15.75" thickBot="1">
      <c r="B12" s="104"/>
      <c r="C12" s="121" t="s">
        <v>15</v>
      </c>
      <c r="D12" s="122"/>
      <c r="E12" s="123"/>
      <c r="F12" s="111"/>
      <c r="G12" s="111"/>
      <c r="H12" s="111"/>
      <c r="I12" s="129"/>
      <c r="J12" s="5"/>
    </row>
    <row r="13" spans="2:10" ht="15">
      <c r="B13" s="64">
        <f>+B19+1</f>
        <v>5</v>
      </c>
      <c r="C13" s="50" t="s">
        <v>6</v>
      </c>
      <c r="D13" s="90">
        <v>20</v>
      </c>
      <c r="E13" s="90">
        <v>20</v>
      </c>
      <c r="F13" s="70">
        <f>ROUND((D13+E13)/2,1)</f>
        <v>20</v>
      </c>
      <c r="G13" s="90">
        <v>20</v>
      </c>
      <c r="H13" s="70">
        <f>ROUND(IF(ABS(G13-F13)&lt;=2,F13,IF(G13-F13&gt;=2,G13-2,G13+2)),1)</f>
        <v>20</v>
      </c>
      <c r="I13" s="72">
        <f>ROUND((H13*0.3+G13*0.7),1)</f>
        <v>20</v>
      </c>
      <c r="J13" s="5"/>
    </row>
    <row r="14" spans="2:10" ht="15">
      <c r="B14" s="64">
        <f>+B13+1</f>
        <v>6</v>
      </c>
      <c r="C14" s="50" t="str">
        <f>IF(D7=1,"Ιστορία",IF(D7=2,"Μαθηματικά &amp; Στ. Στατιστ.",IF(D7=3,"Βιολογία","Φυσική")))</f>
        <v>Μαθηματικά &amp; Στ. Στατιστ.</v>
      </c>
      <c r="D14" s="90">
        <v>20</v>
      </c>
      <c r="E14" s="90">
        <v>20</v>
      </c>
      <c r="F14" s="70">
        <f>ROUND((D14+E14)/2,1)</f>
        <v>20</v>
      </c>
      <c r="G14" s="90">
        <v>20</v>
      </c>
      <c r="H14" s="70">
        <f>ROUND(IF(ABS(G14-F14)&lt;=2,F14,IF(G14-F14&gt;=2,G14-2,G14+2)),1)</f>
        <v>20</v>
      </c>
      <c r="I14" s="72">
        <f>ROUND((H14*0.3+G14*0.7),1)</f>
        <v>20</v>
      </c>
      <c r="J14" s="5"/>
    </row>
    <row r="15" spans="2:10" ht="15">
      <c r="B15" s="79"/>
      <c r="C15" s="130" t="str">
        <f>IF(D5=1,"Μαθήματα Θεωρητικής Κατεύθυνσης",IF(D5=2,"Μαθήματα Θετικής Κατεύθυνσης",IF(D5=3,"Μαθήματα Τεχνολογικής Κατεύθυνσης (Κύκλος Πληροφορικής)","Μαθήματα Τεχνολογικής Κατεύθυνσης (Κύκλος Τεχνολογίας)")))</f>
        <v>Μαθήματα Θεωρητικής Κατεύθυνσης</v>
      </c>
      <c r="D15" s="131"/>
      <c r="E15" s="131"/>
      <c r="F15" s="131"/>
      <c r="G15" s="131"/>
      <c r="H15" s="131"/>
      <c r="I15" s="132"/>
      <c r="J15" s="5"/>
    </row>
    <row r="16" spans="2:10" ht="15">
      <c r="B16" s="63">
        <v>1</v>
      </c>
      <c r="C16" s="51" t="str">
        <f>IF(D5=1,"Αρχαία Ελληνικά","Μαθηματικά")</f>
        <v>Αρχαία Ελληνικά</v>
      </c>
      <c r="D16" s="91">
        <v>20</v>
      </c>
      <c r="E16" s="91">
        <v>20</v>
      </c>
      <c r="F16" s="67">
        <f>ROUND((D16+E16)/2,1)</f>
        <v>20</v>
      </c>
      <c r="G16" s="91">
        <v>20</v>
      </c>
      <c r="H16" s="68">
        <f>ROUND(IF(ABS(G16-F16)&lt;=2,F16,IF(G16-F16&gt;=2,G16-2,G16+2)),1)</f>
        <v>20</v>
      </c>
      <c r="I16" s="69">
        <f>ROUND((H16*0.3+G16*0.7),1)</f>
        <v>20</v>
      </c>
      <c r="J16" s="5"/>
    </row>
    <row r="17" spans="2:10" ht="15">
      <c r="B17" s="64">
        <f>+B16+1</f>
        <v>2</v>
      </c>
      <c r="C17" s="50" t="str">
        <f>IF(D5=1,"Ιστορία","Φυσική")</f>
        <v>Ιστορία</v>
      </c>
      <c r="D17" s="90">
        <v>20</v>
      </c>
      <c r="E17" s="90">
        <v>20</v>
      </c>
      <c r="F17" s="70">
        <f>ROUND((D17+E17)/2,1)</f>
        <v>20</v>
      </c>
      <c r="G17" s="90">
        <v>20</v>
      </c>
      <c r="H17" s="71">
        <f>ROUND(IF(ABS(G17-F17)&lt;=2,F17,IF(G17-F17&gt;=2,G17-2,G17+2)),1)</f>
        <v>20</v>
      </c>
      <c r="I17" s="72">
        <f>ROUND((H17*0.3+G17*0.7),1)</f>
        <v>20</v>
      </c>
      <c r="J17" s="5"/>
    </row>
    <row r="18" spans="2:10" ht="15">
      <c r="B18" s="64">
        <f>+B17+1</f>
        <v>3</v>
      </c>
      <c r="C18" s="50" t="str">
        <f>IF(D5=1,"Νεολ. Λογοτεχνία",IF(D5=2,"Χημεία",IF(D5=3,"Ανάπτυξη Εφαρμογών","Χημεία-Βιοχημεία")))</f>
        <v>Νεολ. Λογοτεχνία</v>
      </c>
      <c r="D18" s="90">
        <v>20</v>
      </c>
      <c r="E18" s="90">
        <v>20</v>
      </c>
      <c r="F18" s="70">
        <f>ROUND((D18+E18)/2,1)</f>
        <v>20</v>
      </c>
      <c r="G18" s="90">
        <v>20</v>
      </c>
      <c r="H18" s="71">
        <f>ROUND(IF(ABS(G18-F18)&lt;=2,F18,IF(G18-F18&gt;=2,G18-2,G18+2)),1)</f>
        <v>20</v>
      </c>
      <c r="I18" s="72">
        <f>ROUND((H18*0.3+G18*0.7),1)</f>
        <v>20</v>
      </c>
      <c r="J18" s="5"/>
    </row>
    <row r="19" spans="2:10" ht="15">
      <c r="B19" s="64">
        <f>+B18+1</f>
        <v>4</v>
      </c>
      <c r="C19" s="50" t="str">
        <f>IF(D5=1,"Λατινικά",IF(D5=2,"Βιολογία",IF(D5=3,"Διοίκηση Επιχειρήσεων","Ηλεκτρολογία")))</f>
        <v>Λατινικά</v>
      </c>
      <c r="D19" s="90">
        <v>20</v>
      </c>
      <c r="E19" s="90">
        <v>20</v>
      </c>
      <c r="F19" s="70">
        <f>ROUND((D19+E19)/2,1)</f>
        <v>20</v>
      </c>
      <c r="G19" s="90">
        <v>20</v>
      </c>
      <c r="H19" s="71">
        <f>ROUND(IF(ABS(G19-F19)&lt;=2,F19,IF(G19-F19&gt;=2,G19-2,G19+2)),1)</f>
        <v>20</v>
      </c>
      <c r="I19" s="72">
        <f>ROUND((H19*0.3+G19*0.7),1)</f>
        <v>20</v>
      </c>
      <c r="J19" s="5"/>
    </row>
    <row r="20" spans="2:9" ht="15">
      <c r="B20" s="75"/>
      <c r="C20" s="133" t="s">
        <v>20</v>
      </c>
      <c r="D20" s="133"/>
      <c r="E20" s="133"/>
      <c r="F20" s="133"/>
      <c r="G20" s="133"/>
      <c r="H20" s="133"/>
      <c r="I20" s="134"/>
    </row>
    <row r="21" spans="2:10" ht="15">
      <c r="B21" s="65">
        <f>+B14+1</f>
        <v>7</v>
      </c>
      <c r="C21" s="66" t="s">
        <v>7</v>
      </c>
      <c r="D21" s="98">
        <v>20</v>
      </c>
      <c r="E21" s="98">
        <v>20</v>
      </c>
      <c r="F21" s="73">
        <f>IF((D21+E21)=0," ",ROUND((D21+E21)/2,1))</f>
        <v>20</v>
      </c>
      <c r="G21" s="98">
        <v>20</v>
      </c>
      <c r="H21" s="73">
        <f>IF(G21=0," ",ROUND(IF(ABS(G21-F21)&lt;=2,F21,IF(G21-F21&gt;=2,G21-2,G21+2)),1))</f>
        <v>20</v>
      </c>
      <c r="I21" s="74">
        <f>IF(ISNUMBER(H21),ROUND((H21*0.3+G21*0.7),1)," ")</f>
        <v>20</v>
      </c>
      <c r="J21" s="5"/>
    </row>
    <row r="22" spans="2:10" ht="7.5" customHeight="1" thickBot="1">
      <c r="B22" s="62"/>
      <c r="C22" s="61"/>
      <c r="D22" s="61"/>
      <c r="E22" s="61"/>
      <c r="F22" s="61"/>
      <c r="G22" s="61"/>
      <c r="H22" s="61"/>
      <c r="I22" s="61"/>
      <c r="J22" s="5"/>
    </row>
    <row r="23" spans="2:9" ht="15.75" thickBot="1">
      <c r="B23" s="62"/>
      <c r="C23" s="135" t="s">
        <v>8</v>
      </c>
      <c r="D23" s="135"/>
      <c r="E23" s="86">
        <f>ROUND(IF(I21=" ",AVERAGE(I13:I20),AVERAGE(I13:I21)),2)</f>
        <v>20</v>
      </c>
      <c r="G23" s="136" t="s">
        <v>22</v>
      </c>
      <c r="H23" s="136"/>
      <c r="I23" s="87">
        <f>+E23*8</f>
        <v>160</v>
      </c>
    </row>
    <row r="24" spans="2:9" ht="7.5" customHeight="1" thickBot="1">
      <c r="B24" s="1"/>
      <c r="C24" s="1"/>
      <c r="D24" s="1"/>
      <c r="E24" s="1"/>
      <c r="F24" s="1"/>
      <c r="G24" s="1"/>
      <c r="H24" s="1"/>
      <c r="I24" s="1"/>
    </row>
    <row r="25" spans="2:9" s="3" customFormat="1" ht="16.5" customHeight="1" thickBot="1" thickTop="1">
      <c r="B25" s="60"/>
      <c r="C25" s="118" t="s">
        <v>9</v>
      </c>
      <c r="D25" s="119"/>
      <c r="E25" s="120"/>
      <c r="F25" s="60"/>
      <c r="G25" s="125" t="s">
        <v>14</v>
      </c>
      <c r="H25" s="126"/>
      <c r="I25" s="127"/>
    </row>
    <row r="26" spans="2:9" ht="12.75">
      <c r="B26" s="112" t="str">
        <f>IF(Βοηθ!C10=" ",IF(Βοηθ!C18=" ",IF(Βοηθ!C28=" ",IF(Βοηθ!C38=" "," ",Βοηθ!B37),Βοηθ!B27),Βοηθ!B17),Βοηθ!B9)</f>
        <v>Θεωρητική Κατεύθυνση</v>
      </c>
      <c r="C26" s="57"/>
      <c r="D26" s="58" t="str">
        <f>IF(Βοηθ!D9=" ",IF(Βοηθ!D17=" ",IF(Βοηθ!D27=" ",IF(Βοηθ!D37=" "," ",Βοηθ!D37),Βοηθ!D27),Βοηθ!D17),Βοηθ!D9)</f>
        <v>Αρχαία x 1,3</v>
      </c>
      <c r="E26" s="59" t="str">
        <f>IF(Βοηθ!E9=" ",IF(Βοηθ!E17=" ",IF(Βοηθ!E27=" ",IF(Βοηθ!E37=" "," ",Βοηθ!E37),Βοηθ!E27),Βοηθ!E17),Βοηθ!E9)</f>
        <v>Ιστορία x 0,7</v>
      </c>
      <c r="F26" s="1"/>
      <c r="G26" s="55"/>
      <c r="H26" s="56"/>
      <c r="I26" s="93"/>
    </row>
    <row r="27" spans="2:9" ht="18">
      <c r="B27" s="113"/>
      <c r="C27" s="43" t="str">
        <f>IF(Βοηθ!C10=" ",IF(Βοηθ!C18=" ",IF(Βοηθ!C28=" ",IF(Βοηθ!C38=" "," ",Βοηθ!C38),Βοηθ!C28),Βοηθ!C18),Βοηθ!C10)</f>
        <v>1ο Επιστημονικό Πεδίο</v>
      </c>
      <c r="D27" s="44">
        <f>IF(Βοηθ!D10=0,IF(Βοηθ!D18=0,IF(Βοηθ!D28=0,IF(Βοηθ!D38=0,0,Βοηθ!D38),Βοηθ!D28),Βοηθ!D18),Βοηθ!D10)</f>
        <v>26</v>
      </c>
      <c r="E27" s="45">
        <f>IF(Βοηθ!E10=0,IF(Βοηθ!E18=0,IF(Βοηθ!E28=0,IF(Βοηθ!E38=0,0,Βοηθ!E38),Βοηθ!E28),Βοηθ!E18),Βοηθ!E10)</f>
        <v>14</v>
      </c>
      <c r="F27" s="1"/>
      <c r="G27" s="114" t="str">
        <f>+C27</f>
        <v>1ο Επιστημονικό Πεδίο</v>
      </c>
      <c r="H27" s="115"/>
      <c r="I27" s="95">
        <f>+IF(C27=" ",0,(E23*8+D27+E27)*100)</f>
        <v>20000</v>
      </c>
    </row>
    <row r="28" spans="2:9" ht="18">
      <c r="B28" s="113"/>
      <c r="C28" s="46"/>
      <c r="D28" s="44" t="str">
        <f>IF(Βοηθ!D11=" ",IF(Βοηθ!D19=" ",IF(Βοηθ!D29=" ",IF(Βοηθ!D39=" "," ",Βοηθ!D39),Βοηθ!D29),Βοηθ!D19),Βοηθ!D11)</f>
        <v>Μαθηματ &amp; Στ. Στ x 0,9</v>
      </c>
      <c r="E28" s="45" t="str">
        <f>IF(Βοηθ!E11=" ",IF(Βοηθ!E19=" ",IF(Βοηθ!E29=" ",IF(Βοηθ!E39=" "," ",Βοηθ!E39),Βοηθ!E29),Βοηθ!E19),Βοηθ!E11)</f>
        <v>Νεοελ Γλώσσα x 0,4</v>
      </c>
      <c r="F28" s="1"/>
      <c r="G28" s="53"/>
      <c r="H28" s="54"/>
      <c r="I28" s="96"/>
    </row>
    <row r="29" spans="2:9" ht="18">
      <c r="B29" s="113"/>
      <c r="C29" s="43" t="str">
        <f>IF(Βοηθ!C12=" ",IF(Βοηθ!C20=" ",IF(Βοηθ!C30=" ",IF(Βοηθ!C40=" "," ",Βοηθ!C40),Βοηθ!C30),Βοηθ!C20),Βοηθ!C12)</f>
        <v>2ο,4ο Επιστημονικό Πεδίο</v>
      </c>
      <c r="D29" s="44">
        <f>IF(Βοηθ!D12=0,IF(Βοηθ!D20=0,IF(Βοηθ!D30=0,IF(Βοηθ!D40=0,0,Βοηθ!D40),Βοηθ!D30),Βοηθ!D20),Βοηθ!D12)</f>
        <v>18</v>
      </c>
      <c r="E29" s="45">
        <f>IF(Βοηθ!E12=0,IF(Βοηθ!E20=0,IF(Βοηθ!E30=0,IF(Βοηθ!E40=0,0,Βοηθ!E40),Βοηθ!E30),Βοηθ!E20),Βοηθ!E12)</f>
        <v>8</v>
      </c>
      <c r="F29" s="1"/>
      <c r="G29" s="114" t="str">
        <f>+C29</f>
        <v>2ο,4ο Επιστημονικό Πεδίο</v>
      </c>
      <c r="H29" s="115"/>
      <c r="I29" s="95">
        <f>+IF(C29=" ",0,(E23*8+D29+E29)*100)</f>
        <v>18600</v>
      </c>
    </row>
    <row r="30" spans="2:9" ht="18">
      <c r="B30" s="113"/>
      <c r="C30" s="46"/>
      <c r="D30" s="44" t="str">
        <f>IF(Βοηθ!D13=" ",IF(Βοηθ!D21=" ",IF(Βοηθ!D31=" ",IF(Βοηθ!D41=" "," ",Βοηθ!D41),Βοηθ!D31),Βοηθ!D21),Βοηθ!D13)</f>
        <v>Αρχ. Οικονομ. Θ. x 1,3</v>
      </c>
      <c r="E30" s="45" t="str">
        <f>IF(Βοηθ!E13=" ",IF(Βοηθ!E21=" ",IF(Βοηθ!E31=" ",IF(Βοηθ!E41=" "," ",Βοηθ!E41),Βοηθ!E31),Βοηθ!E21),Βοηθ!E13)</f>
        <v>Μαθηματ &amp; Στ. Στ x 0,7</v>
      </c>
      <c r="F30" s="1"/>
      <c r="G30" s="53"/>
      <c r="H30" s="54"/>
      <c r="I30" s="96"/>
    </row>
    <row r="31" spans="2:9" ht="18">
      <c r="B31" s="113"/>
      <c r="C31" s="43" t="str">
        <f>IF(Βοηθ!C14=" ",IF(Βοηθ!C22=" ",IF(Βοηθ!C32=" ",IF(Βοηθ!C42=" "," ",Βοηθ!C42),Βοηθ!C32),Βοηθ!C22),Βοηθ!C14)</f>
        <v>5ο Επιστημονικό Πεδίο</v>
      </c>
      <c r="D31" s="44">
        <f>IF(Βοηθ!D14=0,IF(Βοηθ!D22=0,IF(Βοηθ!D32=0,IF(Βοηθ!D42=0,0,Βοηθ!D42),Βοηθ!D32),Βοηθ!D22),Βοηθ!D14)</f>
        <v>26</v>
      </c>
      <c r="E31" s="45">
        <f>IF(Βοηθ!E14=0,IF(Βοηθ!E22=0,IF(Βοηθ!E32=0,IF(Βοηθ!E42=0,0,Βοηθ!E42),Βοηθ!E32),Βοηθ!E22),Βοηθ!E14)</f>
        <v>14</v>
      </c>
      <c r="F31" s="1"/>
      <c r="G31" s="114" t="str">
        <f>+C31</f>
        <v>5ο Επιστημονικό Πεδίο</v>
      </c>
      <c r="H31" s="115"/>
      <c r="I31" s="95">
        <f>+IF(C31=" ",0,(E23*8+D31+E31)*100)</f>
        <v>20000</v>
      </c>
    </row>
    <row r="32" spans="2:9" ht="15">
      <c r="B32" s="113"/>
      <c r="C32" s="43"/>
      <c r="D32" s="44" t="str">
        <f>IF(Βοηθ!D23=" ",IF(Βοηθ!D33=" ",IF(Βοηθ!D43=" "," ",Βοηθ!D43),Βοηθ!D33),Βοηθ!D23)</f>
        <v> </v>
      </c>
      <c r="E32" s="45" t="str">
        <f>IF(Βοηθ!E23=" ",IF(Βοηθ!E33=" ",IF(Βοηθ!E43=" "," ",Βοηθ!E43),Βοηθ!E33),Βοηθ!E23)</f>
        <v> </v>
      </c>
      <c r="F32" s="1"/>
      <c r="G32" s="53"/>
      <c r="H32" s="54"/>
      <c r="I32" s="94"/>
    </row>
    <row r="33" spans="2:9" ht="15.75" thickBot="1">
      <c r="B33" s="113"/>
      <c r="C33" s="47" t="str">
        <f>IF(Βοηθ!C24=" ",IF(Βοηθ!C34=" ",IF(Βοηθ!C44=" "," ",Βοηθ!C44),Βοηθ!C34),Βοηθ!C24)</f>
        <v> </v>
      </c>
      <c r="D33" s="48">
        <f>IF(Βοηθ!D24=0,IF(Βοηθ!D34=0,IF(Βοηθ!D44=0,0,Βοηθ!D44),Βοηθ!D34),Βοηθ!D24)</f>
        <v>0</v>
      </c>
      <c r="E33" s="49">
        <f>IF(Βοηθ!E24=0,IF(Βοηθ!E34=0,IF(Βοηθ!E44=0,0,Βοηθ!E44),Βοηθ!E34),Βοηθ!E24)</f>
        <v>0</v>
      </c>
      <c r="F33" s="1"/>
      <c r="G33" s="116" t="str">
        <f>+C33</f>
        <v> </v>
      </c>
      <c r="H33" s="117"/>
      <c r="I33" s="97">
        <f>+IF(C33=" ",0,(E23*8+D33+E33)*100)</f>
        <v>0</v>
      </c>
    </row>
    <row r="34" spans="2:9" ht="15.75" customHeight="1" thickTop="1">
      <c r="B34" s="1"/>
      <c r="C34" s="1"/>
      <c r="D34" s="1"/>
      <c r="E34" s="1"/>
      <c r="F34" s="1"/>
      <c r="G34" s="1"/>
      <c r="H34" s="1"/>
      <c r="I34" s="1"/>
    </row>
    <row r="35" spans="2:9" ht="10.5" customHeight="1">
      <c r="B35" s="77"/>
      <c r="C35" s="1"/>
      <c r="D35" s="1"/>
      <c r="E35" s="1"/>
      <c r="F35" s="1"/>
      <c r="G35" s="1"/>
      <c r="H35" s="1"/>
      <c r="I35" s="1"/>
    </row>
    <row r="36" ht="13.5" customHeight="1"/>
  </sheetData>
  <sheetProtection/>
  <protectedRanges>
    <protectedRange sqref="D5 D7 D13:E14 D16:E19 G13:G14 G16:G19 G21 D21:E21" name="Περιοχή1"/>
  </protectedRanges>
  <mergeCells count="20">
    <mergeCell ref="C25:E25"/>
    <mergeCell ref="C12:E12"/>
    <mergeCell ref="F11:F12"/>
    <mergeCell ref="G11:G12"/>
    <mergeCell ref="G25:I25"/>
    <mergeCell ref="I11:I12"/>
    <mergeCell ref="C15:I15"/>
    <mergeCell ref="C20:I20"/>
    <mergeCell ref="C23:D23"/>
    <mergeCell ref="G23:H23"/>
    <mergeCell ref="B26:B33"/>
    <mergeCell ref="G27:H27"/>
    <mergeCell ref="G29:H29"/>
    <mergeCell ref="G31:H31"/>
    <mergeCell ref="G33:H33"/>
    <mergeCell ref="B11:B12"/>
    <mergeCell ref="B3:I3"/>
    <mergeCell ref="C9:F9"/>
    <mergeCell ref="G5:H7"/>
    <mergeCell ref="H11:H12"/>
  </mergeCells>
  <printOptions/>
  <pageMargins left="0.4" right="0.18" top="0.5" bottom="0.49" header="0.5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B9:E44"/>
  <sheetViews>
    <sheetView workbookViewId="0" topLeftCell="A1">
      <selection activeCell="E5" sqref="E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8" ht="13.5" thickBot="1"/>
    <row r="9" spans="2:5" ht="13.5" thickTop="1">
      <c r="B9" s="137" t="s">
        <v>10</v>
      </c>
      <c r="C9" s="10"/>
      <c r="D9" s="21" t="str">
        <f>IF('Με Προφορικό &amp; Γραπτό Βαθμό'!D5=1,"Αρχαία x 1,3"," ")</f>
        <v>Αρχαία x 1,3</v>
      </c>
      <c r="E9" s="26" t="str">
        <f>IF('Με Προφορικό &amp; Γραπτό Βαθμό'!D5=1,"Ιστορία x 0,7"," ")</f>
        <v>Ιστορία x 0,7</v>
      </c>
    </row>
    <row r="10" spans="2:5" ht="13.5" thickBot="1">
      <c r="B10" s="137"/>
      <c r="C10" s="12" t="str">
        <f>IF('Με Προφορικό &amp; Γραπτό Βαθμό'!D5=1,"1ο Επιστημονικό Πεδίο"," ")</f>
        <v>1ο Επιστημονικό Πεδίο</v>
      </c>
      <c r="D10" s="22">
        <f>+IF(D9=" ",0,'Με Προφορικό &amp; Γραπτό Βαθμό'!I16*1.3)</f>
        <v>26</v>
      </c>
      <c r="E10" s="27">
        <f>+IF(E9=" ",0,'Με Προφορικό &amp; Γραπτό Βαθμό'!I17*0.7)</f>
        <v>14</v>
      </c>
    </row>
    <row r="11" spans="2:5" ht="12.75">
      <c r="B11" s="137"/>
      <c r="C11" s="17"/>
      <c r="D11" s="23" t="str">
        <f>IF(C12=" "," ",IF('Με Προφορικό &amp; Γραπτό Βαθμό'!D7=1," ",IF('Με Προφορικό &amp; Γραπτό Βαθμό'!D7=2,"Μαθηματ &amp; Στ. Στ x 0,9",IF('Με Προφορικό &amp; Γραπτό Βαθμό'!D7=3,"Βιολογία x 0,9"," "))))</f>
        <v>Μαθηματ &amp; Στ. Στ x 0,9</v>
      </c>
      <c r="E11" s="28" t="str">
        <f>IF(C12=" "," ",IF('Με Προφορικό &amp; Γραπτό Βαθμό'!D7=1," ",IF('Με Προφορικό &amp; Γραπτό Βαθμό'!D7=2,"Νεοελ Γλώσσα x 0,4",IF('Με Προφορικό &amp; Γραπτό Βαθμό'!D7=3,"Νεοελ Γλώσσα x 0,4"," "))))</f>
        <v>Νεοελ Γλώσσα x 0,4</v>
      </c>
    </row>
    <row r="12" spans="2:5" ht="13.5" thickBot="1">
      <c r="B12" s="137"/>
      <c r="C12" s="19" t="str">
        <f>IF('Με Προφορικό &amp; Γραπτό Βαθμό'!D5&lt;&gt;1," ",IF('Με Προφορικό &amp; Γραπτό Βαθμό'!D7=1," ",IF('Με Προφορικό &amp; Γραπτό Βαθμό'!D7=2,"2ο,4ο Επιστημονικό Πεδίο",IF('Με Προφορικό &amp; Γραπτό Βαθμό'!D7=3,"3ο Επιστημονικό Πεδίο"," "))))</f>
        <v>2ο,4ο Επιστημονικό Πεδίο</v>
      </c>
      <c r="D12" s="29">
        <f>IF(D11=" ",0,'Με Προφορικό &amp; Γραπτό Βαθμό'!I14*0.9)</f>
        <v>18</v>
      </c>
      <c r="E12" s="20">
        <f>IF(E11=" ",0,'Με Προφορικό &amp; Γραπτό Βαθμό'!I13*0.4)</f>
        <v>8</v>
      </c>
    </row>
    <row r="13" spans="2:5" ht="12.75">
      <c r="B13" s="137"/>
      <c r="C13" s="24"/>
      <c r="D13" s="30" t="str">
        <f>IF(C14=" "," ",IF('Με Προφορικό &amp; Γραπτό Βαθμό'!I21=" "," ","Αρχ. Οικονομ. Θ. x 1,3"))</f>
        <v>Αρχ. Οικονομ. Θ. x 1,3</v>
      </c>
      <c r="E13" s="14" t="str">
        <f>IF(C14=" "," ",IF('Με Προφορικό &amp; Γραπτό Βαθμό'!I21=" "," ","Μαθηματ &amp; Στ. Στ x 0,7"))</f>
        <v>Μαθηματ &amp; Στ. Στ x 0,7</v>
      </c>
    </row>
    <row r="14" spans="2:5" ht="13.5" thickBot="1">
      <c r="B14" s="137"/>
      <c r="C14" s="41" t="str">
        <f>IF('Με Προφορικό &amp; Γραπτό Βαθμό'!D5&lt;&gt;1," ",IF('Με Προφορικό &amp; Γραπτό Βαθμό'!D7&lt;&gt;2," ",IF('Με Προφορικό &amp; Γραπτό Βαθμό'!I21=" "," ","5ο Επιστημονικό Πεδίο")))</f>
        <v>5ο Επιστημονικό Πεδίο</v>
      </c>
      <c r="D14" s="42">
        <f>IF(D13=" ",0,'Με Προφορικό &amp; Γραπτό Βαθμό'!I21*1.3)</f>
        <v>26</v>
      </c>
      <c r="E14" s="15">
        <f>IF(E13=" ",0,'Με Προφορικό &amp; Γραπτό Βαθμό'!I14*0.7)</f>
        <v>14</v>
      </c>
    </row>
    <row r="15" ht="13.5" thickTop="1"/>
    <row r="16" ht="13.5" thickBot="1"/>
    <row r="17" spans="2:5" ht="13.5" customHeight="1" thickTop="1">
      <c r="B17" s="137" t="s">
        <v>11</v>
      </c>
      <c r="C17" s="38"/>
      <c r="D17" s="31" t="str">
        <f>IF(C18=" "," ",IF('Με Προφορικό &amp; Γραπτό Βαθμό'!D5=2,"Μαθηματικά x 1,3"," "))</f>
        <v> </v>
      </c>
      <c r="E17" s="11" t="str">
        <f>IF(C18=" "," ",IF('Με Προφορικό &amp; Γραπτό Βαθμό'!D5=2,"Φυσική x 0,7"," "))</f>
        <v> </v>
      </c>
    </row>
    <row r="18" spans="2:5" ht="13.5" thickBot="1">
      <c r="B18" s="137"/>
      <c r="C18" s="39" t="str">
        <f>IF('Με Προφορικό &amp; Γραπτό Βαθμό'!D5=2,"2ο, 4ο Επιστημονικό Πεδίο"," ")</f>
        <v> </v>
      </c>
      <c r="D18" s="32">
        <f>+IF(D17=" ",0,'Με Προφορικό &amp; Γραπτό Βαθμό'!I16*1.3)</f>
        <v>0</v>
      </c>
      <c r="E18" s="13">
        <f>+IF(E17=" ",0,'Με Προφορικό &amp; Γραπτό Βαθμό'!I17*0.7)</f>
        <v>0</v>
      </c>
    </row>
    <row r="19" spans="2:5" ht="12.75">
      <c r="B19" s="137"/>
      <c r="C19" s="40"/>
      <c r="D19" s="33" t="str">
        <f>IF(C20=" "," ",IF('Με Προφορικό &amp; Γραπτό Βαθμό'!D5=2,"Βιολογία x 1,3"," "))</f>
        <v> </v>
      </c>
      <c r="E19" s="16" t="str">
        <f>IF(C20=" "," ",IF('Με Προφορικό &amp; Γραπτό Βαθμό'!D5=2,"Χημεία x 0,7"," "))</f>
        <v> </v>
      </c>
    </row>
    <row r="20" spans="2:5" ht="13.5" thickBot="1">
      <c r="B20" s="137"/>
      <c r="C20" s="39" t="str">
        <f>IF('Με Προφορικό &amp; Γραπτό Βαθμό'!D5&lt;&gt;2," ",IF('Με Προφορικό &amp; Γραπτό Βαθμό'!D5=2,"3ο Επιστημονικό Πεδίο"," "))</f>
        <v> </v>
      </c>
      <c r="D20" s="32">
        <f>+IF(D19=" ",0,'Με Προφορικό &amp; Γραπτό Βαθμό'!I19*1.3)</f>
        <v>0</v>
      </c>
      <c r="E20" s="20">
        <f>+IF(E19=" ",0,'Με Προφορικό &amp; Γραπτό Βαθμό'!I18*0.7)</f>
        <v>0</v>
      </c>
    </row>
    <row r="21" spans="2:5" ht="12.75">
      <c r="B21" s="137"/>
      <c r="C21" s="24"/>
      <c r="D21" s="34" t="str">
        <f>IF(C22=" "," ",IF('Με Προφορικό &amp; Γραπτό Βαθμό'!D7=2," ",IF('Με Προφορικό &amp; Γραπτό Βαθμό'!D7=1,"Νεολ Γλώσσα x 0,9")))</f>
        <v> </v>
      </c>
      <c r="E21" s="14" t="str">
        <f>IF(C22=" "," ",IF('Με Προφορικό &amp; Γραπτό Βαθμό'!D7=2," ",IF('Με Προφορικό &amp; Γραπτό Βαθμό'!D7=1,"Ιστορία x 0,4")))</f>
        <v> </v>
      </c>
    </row>
    <row r="22" spans="2:5" ht="13.5" thickBot="1">
      <c r="B22" s="137"/>
      <c r="C22" s="25" t="str">
        <f>IF('Με Προφορικό &amp; Γραπτό Βαθμό'!D5&lt;&gt;2," ",IF('Με Προφορικό &amp; Γραπτό Βαθμό'!D7=2," ",IF('Με Προφορικό &amp; Γραπτό Βαθμό'!D7=1,"1ο Επιστημονικό Πεδίο",IF('Με Προφορικό &amp; Γραπτό Βαθμό'!D7=3," "," "))))</f>
        <v> </v>
      </c>
      <c r="D22" s="35">
        <f>IF(D21=" ",0,'Με Προφορικό &amp; Γραπτό Βαθμό'!I13*0.9)</f>
        <v>0</v>
      </c>
      <c r="E22" s="13">
        <f>IF(E21=" ",0,'Με Προφορικό &amp; Γραπτό Βαθμό'!I14*0.4)</f>
        <v>0</v>
      </c>
    </row>
    <row r="23" spans="2:5" ht="12.75">
      <c r="B23" s="137"/>
      <c r="C23" s="24"/>
      <c r="D23" s="36" t="str">
        <f>IF(C24=" "," ",IF('Με Προφορικό &amp; Γραπτό Βαθμό'!I21=" "," ","Αρχ. Οικονομ. Θ. x 1,3"))</f>
        <v> </v>
      </c>
      <c r="E23" s="18" t="str">
        <f>IF(C24=" "," ",IF('Με Προφορικό &amp; Γραπτό Βαθμό'!I21=" "," ","Μαθηματ &amp; Στ. Στ x 0,7"))</f>
        <v> </v>
      </c>
    </row>
    <row r="24" spans="2:5" ht="13.5" thickBot="1">
      <c r="B24" s="137"/>
      <c r="C24" s="41" t="str">
        <f>IF('Με Προφορικό &amp; Γραπτό Βαθμό'!D5&lt;&gt;2," ",IF('Με Προφορικό &amp; Γραπτό Βαθμό'!D7&lt;&gt;2," ",IF('Με Προφορικό &amp; Γραπτό Βαθμό'!I21=" "," ","5ο Επιστημονικό Πεδίο")))</f>
        <v> </v>
      </c>
      <c r="D24" s="37">
        <f>IF(D23=" ",0,'Με Προφορικό &amp; Γραπτό Βαθμό'!I21*1.3)</f>
        <v>0</v>
      </c>
      <c r="E24" s="15">
        <f>IF(E23=" ",0,'Με Προφορικό &amp; Γραπτό Βαθμό'!I14*0.7)</f>
        <v>0</v>
      </c>
    </row>
    <row r="25" ht="13.5" thickTop="1">
      <c r="B25" s="9"/>
    </row>
    <row r="26" ht="13.5" thickBot="1"/>
    <row r="27" spans="2:5" ht="13.5" thickTop="1">
      <c r="B27" s="138" t="s">
        <v>12</v>
      </c>
      <c r="C27" s="38"/>
      <c r="D27" s="31" t="str">
        <f>IF(C28=" "," ",IF('Με Προφορικό &amp; Γραπτό Βαθμό'!D5=3,"Μαθηματικά x 1,3"," "))</f>
        <v> </v>
      </c>
      <c r="E27" s="11" t="str">
        <f>IF(C28=" "," ",IF('Με Προφορικό &amp; Γραπτό Βαθμό'!D5=3,"Φυσική x 0,7"," "))</f>
        <v> </v>
      </c>
    </row>
    <row r="28" spans="2:5" ht="13.5" thickBot="1">
      <c r="B28" s="138"/>
      <c r="C28" s="39" t="str">
        <f>IF('Με Προφορικό &amp; Γραπτό Βαθμό'!D5=3,"2ο, 4ο Επιστημονικό Πεδίο"," ")</f>
        <v> </v>
      </c>
      <c r="D28" s="32">
        <f>+IF(D27=" ",0,'Με Προφορικό &amp; Γραπτό Βαθμό'!I16*1.3)</f>
        <v>0</v>
      </c>
      <c r="E28" s="13">
        <f>+IF(E27=" ",0,'Με Προφορικό &amp; Γραπτό Βαθμό'!I17*0.7)</f>
        <v>0</v>
      </c>
    </row>
    <row r="29" spans="2:5" ht="12.75">
      <c r="B29" s="138"/>
      <c r="C29" s="40"/>
      <c r="D29" s="33" t="str">
        <f>IF(C30=" "," ",IF('Με Προφορικό &amp; Γραπτό Βαθμό'!D7=3,"Βιολογία x 0,9"," "))</f>
        <v> </v>
      </c>
      <c r="E29" s="16" t="str">
        <f>IF(C30=" "," ",IF('Με Προφορικό &amp; Γραπτό Βαθμό'!D7=3,"Νεολ. Γλώσσα x 0,4"," "))</f>
        <v> </v>
      </c>
    </row>
    <row r="30" spans="2:5" ht="13.5" thickBot="1">
      <c r="B30" s="138"/>
      <c r="C30" s="39" t="str">
        <f>IF('Με Προφορικό &amp; Γραπτό Βαθμό'!D5&lt;&gt;3," ",IF('Με Προφορικό &amp; Γραπτό Βαθμό'!D7=3,"3ο Επιστημονικό Πεδίο"," "))</f>
        <v> </v>
      </c>
      <c r="D30" s="32">
        <f>+IF(D29=" ",0,'Με Προφορικό &amp; Γραπτό Βαθμό'!I14*0.9)</f>
        <v>0</v>
      </c>
      <c r="E30" s="20">
        <f>+IF(E29=" ",0,'Με Προφορικό &amp; Γραπτό Βαθμό'!I13*0.4)</f>
        <v>0</v>
      </c>
    </row>
    <row r="31" spans="2:5" ht="12.75">
      <c r="B31" s="138"/>
      <c r="C31" s="24"/>
      <c r="D31" s="34" t="str">
        <f>IF(C32=" "," ",IF('Με Προφορικό &amp; Γραπτό Βαθμό'!D7=1,"Νεολ Γλώσσα x 0,9"," "))</f>
        <v> </v>
      </c>
      <c r="E31" s="14" t="str">
        <f>IF(C32=" "," ",IF('Με Προφορικό &amp; Γραπτό Βαθμό'!D7=1,"Ιστορία x 0,4"," "))</f>
        <v> </v>
      </c>
    </row>
    <row r="32" spans="2:5" ht="13.5" thickBot="1">
      <c r="B32" s="138"/>
      <c r="C32" s="25" t="str">
        <f>IF('Με Προφορικό &amp; Γραπτό Βαθμό'!D5&lt;&gt;3," ",IF('Με Προφορικό &amp; Γραπτό Βαθμό'!D7=1,"1ο Επιστημονικό Πεδίο"," "))</f>
        <v> </v>
      </c>
      <c r="D32" s="35">
        <f>IF(D31=" ",0,'Με Προφορικό &amp; Γραπτό Βαθμό'!I13*0.9)</f>
        <v>0</v>
      </c>
      <c r="E32" s="13">
        <f>IF(E31=" ",0,'Με Προφορικό &amp; Γραπτό Βαθμό'!I14*0.4)</f>
        <v>0</v>
      </c>
    </row>
    <row r="33" spans="2:5" ht="12.75">
      <c r="B33" s="138"/>
      <c r="C33" s="24"/>
      <c r="D33" s="36" t="str">
        <f>IF(C34=" "," ",IF('Με Προφορικό &amp; Γραπτό Βαθμό'!I21=" "," ","Αρχ. Οικονομ. Θ. x 1,3"))</f>
        <v> </v>
      </c>
      <c r="E33" s="18" t="str">
        <f>IF(C34=" "," ",IF('Με Προφορικό &amp; Γραπτό Βαθμό'!I21=" "," ","Μαθηματ &amp; Στ. Στ x 0,7"))</f>
        <v> </v>
      </c>
    </row>
    <row r="34" spans="2:5" ht="13.5" thickBot="1">
      <c r="B34" s="138"/>
      <c r="C34" s="41" t="str">
        <f>IF('Με Προφορικό &amp; Γραπτό Βαθμό'!D5&lt;&gt;3," ",IF('Με Προφορικό &amp; Γραπτό Βαθμό'!D7&lt;&gt;2," ",IF('Με Προφορικό &amp; Γραπτό Βαθμό'!I21=" "," ","5ο Επιστημονικό Πεδίο")))</f>
        <v> </v>
      </c>
      <c r="D34" s="37">
        <f>IF(D33=" ",0,'Με Προφορικό &amp; Γραπτό Βαθμό'!I21*1.3)</f>
        <v>0</v>
      </c>
      <c r="E34" s="15">
        <f>IF(E33=" ",0,'Με Προφορικό &amp; Γραπτό Βαθμό'!I14*0.7)</f>
        <v>0</v>
      </c>
    </row>
    <row r="35" ht="13.5" thickTop="1"/>
    <row r="36" ht="13.5" thickBot="1"/>
    <row r="37" spans="2:5" ht="13.5" thickTop="1">
      <c r="B37" s="138" t="s">
        <v>13</v>
      </c>
      <c r="C37" s="38"/>
      <c r="D37" s="31" t="str">
        <f>IF(C38=" "," ",IF('Με Προφορικό &amp; Γραπτό Βαθμό'!D5=4,"Μαθηματικά x 1,3"," "))</f>
        <v> </v>
      </c>
      <c r="E37" s="11" t="str">
        <f>IF(C38=" "," ",IF('Με Προφορικό &amp; Γραπτό Βαθμό'!D5=4,"Φυσική x 0,7"," "))</f>
        <v> </v>
      </c>
    </row>
    <row r="38" spans="2:5" ht="13.5" thickBot="1">
      <c r="B38" s="138"/>
      <c r="C38" s="39" t="str">
        <f>IF('Με Προφορικό &amp; Γραπτό Βαθμό'!D5=4,"2ο, 4ο Επιστημονικό Πεδίο"," ")</f>
        <v> </v>
      </c>
      <c r="D38" s="32">
        <f>+IF(D37=" ",0,'Με Προφορικό &amp; Γραπτό Βαθμό'!I16*1.3)</f>
        <v>0</v>
      </c>
      <c r="E38" s="13">
        <f>+IF(E37=" ",0,'Με Προφορικό &amp; Γραπτό Βαθμό'!I17*0.7)</f>
        <v>0</v>
      </c>
    </row>
    <row r="39" spans="2:5" ht="12.75">
      <c r="B39" s="138"/>
      <c r="C39" s="40"/>
      <c r="D39" s="33" t="str">
        <f>IF(C40=" "," ",IF('Με Προφορικό &amp; Γραπτό Βαθμό'!D7=3,"Βιολογία x 0,9"," "))</f>
        <v> </v>
      </c>
      <c r="E39" s="16" t="str">
        <f>IF(C40=" "," ",IF('Με Προφορικό &amp; Γραπτό Βαθμό'!D7=3,"Νεολ. Γλώσσα x 0,4"," "))</f>
        <v> </v>
      </c>
    </row>
    <row r="40" spans="2:5" ht="13.5" thickBot="1">
      <c r="B40" s="138"/>
      <c r="C40" s="39" t="str">
        <f>IF('Με Προφορικό &amp; Γραπτό Βαθμό'!D5&lt;&gt;4," ",IF('Με Προφορικό &amp; Γραπτό Βαθμό'!D7=3,"3ο Επιστημονικό Πεδίο"," "))</f>
        <v> </v>
      </c>
      <c r="D40" s="32">
        <f>+IF(D39=" ",0,'Με Προφορικό &amp; Γραπτό Βαθμό'!I14*0.9)</f>
        <v>0</v>
      </c>
      <c r="E40" s="20">
        <f>+IF(E39=" ",0,'Με Προφορικό &amp; Γραπτό Βαθμό'!I13*0.4)</f>
        <v>0</v>
      </c>
    </row>
    <row r="41" spans="2:5" ht="12.75">
      <c r="B41" s="138"/>
      <c r="C41" s="24"/>
      <c r="D41" s="34" t="str">
        <f>IF(C42=" "," ",IF('Με Προφορικό &amp; Γραπτό Βαθμό'!D7=1,"Νεολ Γλώσσα x 0,9"," "))</f>
        <v> </v>
      </c>
      <c r="E41" s="14" t="str">
        <f>IF(C42=" "," ",IF('Με Προφορικό &amp; Γραπτό Βαθμό'!D7=1,"Ιστορία x 0,4"," "))</f>
        <v> </v>
      </c>
    </row>
    <row r="42" spans="2:5" ht="13.5" thickBot="1">
      <c r="B42" s="138"/>
      <c r="C42" s="25" t="str">
        <f>IF('Με Προφορικό &amp; Γραπτό Βαθμό'!D5&lt;&gt;4," ",IF('Με Προφορικό &amp; Γραπτό Βαθμό'!D7=1,"1ο Επιστημονικό Πεδίο"," "))</f>
        <v> </v>
      </c>
      <c r="D42" s="35">
        <f>IF(D41=" ",0,'Με Προφορικό &amp; Γραπτό Βαθμό'!I13*0.9)</f>
        <v>0</v>
      </c>
      <c r="E42" s="13">
        <f>IF(E41=" ",0,'Με Προφορικό &amp; Γραπτό Βαθμό'!I14*0.4)</f>
        <v>0</v>
      </c>
    </row>
    <row r="43" spans="2:5" ht="12.75">
      <c r="B43" s="138"/>
      <c r="C43" s="24"/>
      <c r="D43" s="36" t="str">
        <f>IF(C44=" "," ",IF('Με Προφορικό &amp; Γραπτό Βαθμό'!I21=" "," ","Αρχ. Οικονομ. Θ. x 1,3"))</f>
        <v> </v>
      </c>
      <c r="E43" s="18" t="str">
        <f>IF(C44=" "," ",IF('Με Προφορικό &amp; Γραπτό Βαθμό'!I21=" "," ","Μαθηματ &amp; Στ. Στ x 0,7"))</f>
        <v> </v>
      </c>
    </row>
    <row r="44" spans="2:5" ht="13.5" thickBot="1">
      <c r="B44" s="138"/>
      <c r="C44" s="41" t="str">
        <f>IF('Με Προφορικό &amp; Γραπτό Βαθμό'!D5&lt;&gt;4," ",IF('Με Προφορικό &amp; Γραπτό Βαθμό'!D7&lt;&gt;2," ",IF('Με Προφορικό &amp; Γραπτό Βαθμό'!I21=" "," ","5ο Επιστημονικό Πεδίο")))</f>
        <v> </v>
      </c>
      <c r="D44" s="37">
        <f>IF(D43=" ",0,'Με Προφορικό &amp; Γραπτό Βαθμό'!I21*1.3)</f>
        <v>0</v>
      </c>
      <c r="E44" s="15">
        <f>IF(E43=" ",0,'Με Προφορικό &amp; Γραπτό Βαθμό'!I14*0.7)</f>
        <v>0</v>
      </c>
    </row>
    <row r="45" ht="13.5" thickTop="1"/>
  </sheetData>
  <sheetProtection password="DE9A" sheet="1" objects="1" scenarios="1"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>
    <tabColor indexed="18"/>
  </sheetPr>
  <dimension ref="C2:K35"/>
  <sheetViews>
    <sheetView showGridLines="0" showRowColHeaders="0" showZeros="0" zoomScale="85" zoomScaleNormal="85" workbookViewId="0" topLeftCell="A1">
      <selection activeCell="C35" sqref="C35"/>
    </sheetView>
  </sheetViews>
  <sheetFormatPr defaultColWidth="9.140625" defaultRowHeight="12.75"/>
  <cols>
    <col min="1" max="2" width="4.421875" style="0" customWidth="1"/>
    <col min="3" max="3" width="11.140625" style="0" customWidth="1"/>
    <col min="4" max="4" width="26.00390625" style="0" customWidth="1"/>
    <col min="5" max="5" width="22.8515625" style="0" customWidth="1"/>
    <col min="6" max="6" width="22.421875" style="0" customWidth="1"/>
    <col min="7" max="7" width="11.00390625" style="0" customWidth="1"/>
    <col min="8" max="8" width="12.7109375" style="0" customWidth="1"/>
    <col min="9" max="9" width="13.140625" style="0" customWidth="1"/>
    <col min="10" max="10" width="11.421875" style="0" customWidth="1"/>
    <col min="11" max="11" width="6.140625" style="0" customWidth="1"/>
  </cols>
  <sheetData>
    <row r="2" ht="15.75">
      <c r="C2" s="88"/>
    </row>
    <row r="3" spans="3:10" ht="25.5">
      <c r="C3" s="105" t="s">
        <v>24</v>
      </c>
      <c r="D3" s="105"/>
      <c r="E3" s="105"/>
      <c r="F3" s="105"/>
      <c r="G3" s="105"/>
      <c r="H3" s="105"/>
      <c r="I3" s="105"/>
      <c r="J3" s="105"/>
    </row>
    <row r="4" spans="3:10" ht="13.5" thickBot="1">
      <c r="C4" s="1"/>
      <c r="D4" s="1"/>
      <c r="E4" s="1"/>
      <c r="F4" s="1"/>
      <c r="G4" s="1"/>
      <c r="H4" s="1"/>
      <c r="I4" s="1"/>
      <c r="J4" s="1"/>
    </row>
    <row r="5" spans="3:8" s="3" customFormat="1" ht="16.5" thickBot="1" thickTop="1">
      <c r="C5" s="60"/>
      <c r="D5" s="52" t="s">
        <v>0</v>
      </c>
      <c r="E5" s="92">
        <v>1</v>
      </c>
      <c r="F5" s="60"/>
      <c r="G5" s="107" t="s">
        <v>25</v>
      </c>
      <c r="H5" s="108"/>
    </row>
    <row r="6" spans="3:10" ht="9.75" customHeight="1" thickBot="1" thickTop="1">
      <c r="C6" s="1"/>
      <c r="D6" s="76">
        <f>IF(E5&lt;1,"ΛΑΘΟΣ ΕΠΙΛΟΓΗ ΑΡΙΘΜΟΥ από 1-4",IF(E5&gt;4,"ΛΑΘΟΣ ΕΠΙΛΟΓΗ ΑΡΙΘΜΟΥ από 1-4",IF(E7&lt;1,"ΛΑΘΟΣ ΕΠΙΛΟΓΗ ΑΡΙΘΜΟΥ από 1-4",IF(E7&gt;4,"ΛΑΘΟΣ ΕΠΙΛΟΓΗ ΑΡΙΘΜΟΥ από 1-4",))))</f>
        <v>0</v>
      </c>
      <c r="G6" s="109"/>
      <c r="H6" s="109"/>
      <c r="I6" s="1"/>
      <c r="J6" s="1"/>
    </row>
    <row r="7" spans="3:10" s="3" customFormat="1" ht="16.5" thickBot="1" thickTop="1">
      <c r="C7" s="60"/>
      <c r="D7" s="52" t="s">
        <v>1</v>
      </c>
      <c r="E7" s="92">
        <v>2</v>
      </c>
      <c r="F7" s="60"/>
      <c r="G7" s="109"/>
      <c r="H7" s="109"/>
      <c r="J7" s="60"/>
    </row>
    <row r="8" spans="3:10" s="3" customFormat="1" ht="10.5" customHeight="1" thickTop="1">
      <c r="C8" s="60"/>
      <c r="D8" s="6"/>
      <c r="E8" s="7"/>
      <c r="F8" s="60"/>
      <c r="G8" s="60"/>
      <c r="H8" s="60"/>
      <c r="I8" s="60"/>
      <c r="J8" s="60"/>
    </row>
    <row r="9" spans="4:10" s="3" customFormat="1" ht="18">
      <c r="D9" s="106" t="str">
        <f>IF(E5=1,"ΘΕΩΡΗΤΙΚΗ ΚΑΤΕΥΘΥΝΣΗ",IF(E5=2,"ΘΕΤΙΚΗ ΚΑΤΕΥΘΥΝΣΗ",IF(E5=3,"ΤΕΧΝΟΛΟΓΙΚΗ ΚΑΤΕΥΘΥΝΣΗ (Κύκλος Πληροφορικής)","ΤΕΧΝΟΛΟΓΙΚΗ ΚΑΤΕΥΘΥΝΣΗ (Κύκλος Τεχνολογίας)")))</f>
        <v>ΘΕΩΡΗΤΙΚΗ ΚΑΤΕΥΘΥΝΣΗ</v>
      </c>
      <c r="E9" s="106"/>
      <c r="F9" s="106"/>
      <c r="G9" s="106"/>
      <c r="H9" s="60"/>
      <c r="I9" s="60"/>
      <c r="J9" s="60"/>
    </row>
    <row r="10" spans="3:10" ht="9.75" customHeight="1">
      <c r="C10" s="1"/>
      <c r="D10" s="1"/>
      <c r="E10" s="2"/>
      <c r="F10" s="1"/>
      <c r="G10" s="1"/>
      <c r="H10" s="1"/>
      <c r="I10" s="1"/>
      <c r="J10" s="1"/>
    </row>
    <row r="11" spans="3:6" s="4" customFormat="1" ht="25.5">
      <c r="C11" s="103" t="s">
        <v>2</v>
      </c>
      <c r="D11" s="80" t="s">
        <v>3</v>
      </c>
      <c r="E11" s="83" t="s">
        <v>5</v>
      </c>
      <c r="F11" s="8"/>
    </row>
    <row r="12" spans="3:6" ht="15" thickBot="1">
      <c r="C12" s="104"/>
      <c r="D12" s="139" t="s">
        <v>15</v>
      </c>
      <c r="E12" s="140"/>
      <c r="F12" s="5"/>
    </row>
    <row r="13" spans="3:6" ht="15">
      <c r="C13" s="64">
        <f>+C19+1</f>
        <v>5</v>
      </c>
      <c r="D13" s="50" t="s">
        <v>6</v>
      </c>
      <c r="E13" s="99">
        <v>20</v>
      </c>
      <c r="F13" s="5"/>
    </row>
    <row r="14" spans="3:6" ht="15">
      <c r="C14" s="64">
        <f>+C13+1</f>
        <v>6</v>
      </c>
      <c r="D14" s="50" t="str">
        <f>IF(E7=1,"Ιστορία",IF(E7=2,"Μαθηματικά &amp; Στ. Στατιστ.",IF(E7=3,"Βιολογία","Φυσική")))</f>
        <v>Μαθηματικά &amp; Στ. Στατιστ.</v>
      </c>
      <c r="E14" s="99">
        <v>20</v>
      </c>
      <c r="F14" s="5"/>
    </row>
    <row r="15" spans="3:9" ht="15.75">
      <c r="C15" s="79"/>
      <c r="D15" s="84" t="str">
        <f>IF(E5=1,"Μαθήματα Θεωρητικής Κατεύθυνσης",IF(E5=2,"Μαθήματα Θετικής Κατεύθυνσης",IF(E5=3,"Μαθήματα Τεχνολογικής Κατεύθυνσης (Κύκλος Πληροφορικής)","Μαθήματα Τεχνολογικής Κατεύθυνσης (Κύκλος Τεχνολογίας)")))</f>
        <v>Μαθήματα Θεωρητικής Κατεύθυνσης</v>
      </c>
      <c r="E15" s="81"/>
      <c r="F15" s="5"/>
      <c r="I15" s="88"/>
    </row>
    <row r="16" spans="3:6" ht="15">
      <c r="C16" s="63">
        <v>1</v>
      </c>
      <c r="D16" s="51" t="str">
        <f>IF(E5=1,"Αρχαία Ελληνικά","Μαθηματικά")</f>
        <v>Αρχαία Ελληνικά</v>
      </c>
      <c r="E16" s="100">
        <v>20</v>
      </c>
      <c r="F16" s="5"/>
    </row>
    <row r="17" spans="3:6" ht="15">
      <c r="C17" s="64">
        <f>+C16+1</f>
        <v>2</v>
      </c>
      <c r="D17" s="50" t="str">
        <f>IF(E5=1,"Ιστορία","Φυσική")</f>
        <v>Ιστορία</v>
      </c>
      <c r="E17" s="99">
        <v>20</v>
      </c>
      <c r="F17" s="5"/>
    </row>
    <row r="18" spans="3:6" ht="15">
      <c r="C18" s="64">
        <f>+C17+1</f>
        <v>3</v>
      </c>
      <c r="D18" s="50" t="str">
        <f>IF(E5=1,"Νεολ. Λογοτεχνία",IF(E5=2,"Χημεία",IF(E5=3,"Ανάπτυξη Εφαρμογών","Χημεία-Βιοχημεία")))</f>
        <v>Νεολ. Λογοτεχνία</v>
      </c>
      <c r="E18" s="99">
        <v>20</v>
      </c>
      <c r="F18" s="5"/>
    </row>
    <row r="19" spans="3:6" ht="15">
      <c r="C19" s="64">
        <f>+C18+1</f>
        <v>4</v>
      </c>
      <c r="D19" s="50" t="str">
        <f>IF(E5=1,"Λατινικά",IF(E5=2,"Βιολογία",IF(E5=3,"Διοίκηση Επιχειρήσεων","Ηλεκτρολογία")))</f>
        <v>Λατινικά</v>
      </c>
      <c r="E19" s="99">
        <v>20</v>
      </c>
      <c r="F19" s="5"/>
    </row>
    <row r="20" spans="3:5" ht="15">
      <c r="C20" s="75"/>
      <c r="D20" s="85" t="s">
        <v>20</v>
      </c>
      <c r="E20" s="82"/>
    </row>
    <row r="21" spans="3:6" ht="15">
      <c r="C21" s="65">
        <f>+C14+1</f>
        <v>7</v>
      </c>
      <c r="D21" s="66" t="s">
        <v>7</v>
      </c>
      <c r="E21" s="101">
        <v>20</v>
      </c>
      <c r="F21" s="5"/>
    </row>
    <row r="22" spans="3:11" ht="7.5" customHeight="1" thickBot="1">
      <c r="C22" s="62"/>
      <c r="D22" s="61"/>
      <c r="E22" s="61"/>
      <c r="F22" s="61"/>
      <c r="G22" s="61"/>
      <c r="H22" s="61"/>
      <c r="I22" s="61"/>
      <c r="J22" s="61"/>
      <c r="K22" s="5"/>
    </row>
    <row r="23" spans="3:11" ht="15.75" thickBot="1">
      <c r="C23" s="62"/>
      <c r="D23" s="141" t="s">
        <v>8</v>
      </c>
      <c r="E23" s="141"/>
      <c r="F23" s="86">
        <f>ROUND(IF(E21=" ",AVERAGE(E13:E20),AVERAGE(E13:E21)),2)</f>
        <v>20</v>
      </c>
      <c r="H23" s="136" t="s">
        <v>22</v>
      </c>
      <c r="I23" s="136"/>
      <c r="J23" s="87">
        <f>+F23*8</f>
        <v>160</v>
      </c>
      <c r="K23" s="5"/>
    </row>
    <row r="24" spans="3:10" ht="7.5" customHeight="1" thickBot="1">
      <c r="C24" s="1"/>
      <c r="D24" s="1"/>
      <c r="E24" s="1"/>
      <c r="F24" s="1"/>
      <c r="G24" s="1"/>
      <c r="H24" s="1"/>
      <c r="I24" s="1"/>
      <c r="J24" s="1"/>
    </row>
    <row r="25" spans="3:10" s="3" customFormat="1" ht="19.5" thickBot="1" thickTop="1">
      <c r="C25" s="60"/>
      <c r="D25" s="118" t="s">
        <v>9</v>
      </c>
      <c r="E25" s="119"/>
      <c r="F25" s="120"/>
      <c r="G25" s="60"/>
      <c r="H25" s="125" t="s">
        <v>14</v>
      </c>
      <c r="I25" s="126"/>
      <c r="J25" s="127"/>
    </row>
    <row r="26" spans="3:10" ht="12.75">
      <c r="C26" s="142" t="str">
        <f>IF(Βοηθ!C10=" ",IF(Βοηθ!C18=" ",IF(Βοηθ!C28=" ",IF(Βοηθ!C38=" "," ",Βοηθ!B37),Βοηθ!B27),Βοηθ!B17),Βοηθ!B9)</f>
        <v>Θεωρητική Κατεύθυνση</v>
      </c>
      <c r="D26" s="57"/>
      <c r="E26" s="58" t="str">
        <f>IF(Προσ!D9=" ",IF(Προσ!D17=" ",IF(Προσ!D27=" ",IF(Προσ!D37=" "," ",Προσ!D37),Προσ!D27),Προσ!D17),Προσ!D9)</f>
        <v>Αρχαία x 1,3</v>
      </c>
      <c r="F26" s="59" t="str">
        <f>IF(Προσ!E9=" ",IF(Προσ!E17=" ",IF(Προσ!E27=" ",IF(Προσ!E37=" "," ",Προσ!E37),Προσ!E27),Προσ!E17),Προσ!E9)</f>
        <v>Ιστορία x 0,7</v>
      </c>
      <c r="G26" s="1"/>
      <c r="H26" s="55"/>
      <c r="I26" s="56"/>
      <c r="J26" s="93"/>
    </row>
    <row r="27" spans="3:10" ht="18">
      <c r="C27" s="143"/>
      <c r="D27" s="43" t="str">
        <f>IF(Προσ!C10=" ",IF(Προσ!C18=" ",IF(Προσ!C28=" ",IF(Προσ!C38=" "," ",Προσ!C38),Προσ!C28),Προσ!C18),Προσ!C10)</f>
        <v>1ο Επιστημονικό Πεδίο</v>
      </c>
      <c r="E27" s="44">
        <f>IF(Προσ!D10=0,IF(Προσ!D18=0,IF(Προσ!D28=0,IF(Προσ!D38=0,0,Προσ!D38),Προσ!D28),Προσ!D18),Προσ!D10)</f>
        <v>26</v>
      </c>
      <c r="F27" s="45">
        <f>IF(Προσ!E10=0,IF(Προσ!E18=0,IF(Προσ!E28=0,IF(Προσ!E38=0,0,Προσ!E38),Προσ!E28),Προσ!E18),Προσ!E10)</f>
        <v>14</v>
      </c>
      <c r="G27" s="1"/>
      <c r="H27" s="114" t="str">
        <f>+D27</f>
        <v>1ο Επιστημονικό Πεδίο</v>
      </c>
      <c r="I27" s="115"/>
      <c r="J27" s="95">
        <f>+IF(D27=" ",0,(F23*8+E27+F27)*100)</f>
        <v>20000</v>
      </c>
    </row>
    <row r="28" spans="3:10" ht="18">
      <c r="C28" s="143"/>
      <c r="D28" s="46"/>
      <c r="E28" s="44" t="str">
        <f>IF(Προσ!D11=" ",IF(Προσ!D19=" ",IF(Προσ!D29=" ",IF(Προσ!D39=" "," ",Προσ!D39),Προσ!D29),Προσ!D19),Προσ!D11)</f>
        <v>Μαθηματ &amp; Στ. Στ x 0,9</v>
      </c>
      <c r="F28" s="45" t="str">
        <f>IF(Προσ!E11=" ",IF(Προσ!E19=" ",IF(Προσ!E29=" ",IF(Προσ!E39=" "," ",Προσ!E39),Προσ!E29),Προσ!E19),Προσ!E11)</f>
        <v>Νεοελ Γλώσσα x 0,4</v>
      </c>
      <c r="G28" s="1"/>
      <c r="H28" s="53"/>
      <c r="I28" s="54"/>
      <c r="J28" s="96"/>
    </row>
    <row r="29" spans="3:10" ht="18">
      <c r="C29" s="143"/>
      <c r="D29" s="43" t="str">
        <f>IF(Προσ!C12=" ",IF(Προσ!C20=" ",IF(Προσ!C30=" ",IF(Προσ!C40=" "," ",Προσ!C40),Προσ!C30),Προσ!C20),Προσ!C12)</f>
        <v>2ο,4ο Επιστημονικό Πεδίο</v>
      </c>
      <c r="E29" s="44">
        <f>IF(Προσ!D12=0,IF(Προσ!D20=0,IF(Προσ!D30=0,IF(Προσ!D40=0,0,Προσ!D40),Προσ!D30),Προσ!D20),Προσ!D12)</f>
        <v>18</v>
      </c>
      <c r="F29" s="45">
        <f>IF(Προσ!E12=0,IF(Προσ!E20=0,IF(Προσ!E30=0,IF(Προσ!E40=0,0,Προσ!E40),Προσ!E30),Προσ!E20),Προσ!E12)</f>
        <v>8</v>
      </c>
      <c r="G29" s="1"/>
      <c r="H29" s="114" t="str">
        <f>+D29</f>
        <v>2ο,4ο Επιστημονικό Πεδίο</v>
      </c>
      <c r="I29" s="115"/>
      <c r="J29" s="95">
        <f>+IF(D29=" ",0,(F23*8+E29+F29)*100)</f>
        <v>18600</v>
      </c>
    </row>
    <row r="30" spans="3:10" ht="18">
      <c r="C30" s="143"/>
      <c r="D30" s="46"/>
      <c r="E30" s="44" t="str">
        <f>IF(Προσ!D13=" ",IF(Προσ!D21=" ",IF(Προσ!D31=" ",IF(Προσ!D41=" "," ",Προσ!D41),Προσ!D31),Προσ!D21),Προσ!D13)</f>
        <v>Αρχ. Οικονομ. Θ. x 1,3</v>
      </c>
      <c r="F30" s="45" t="str">
        <f>IF(Προσ!E13=" ",IF(Προσ!E21=" ",IF(Προσ!E31=" ",IF(Προσ!E41=" "," ",Προσ!E41),Προσ!E31),Προσ!E21),Προσ!E13)</f>
        <v>Μαθηματ &amp; Στ. Στ x 0,7</v>
      </c>
      <c r="G30" s="1"/>
      <c r="H30" s="53"/>
      <c r="I30" s="54"/>
      <c r="J30" s="96"/>
    </row>
    <row r="31" spans="3:10" ht="18">
      <c r="C31" s="143"/>
      <c r="D31" s="43" t="str">
        <f>IF(Προσ!C14=" ",IF(Προσ!C22=" ",IF(Προσ!C32=" ",IF(Προσ!C42=" "," ",Προσ!C42),Προσ!C32),Προσ!C22),Προσ!C14)</f>
        <v>5ο Επιστημονικό Πεδίο</v>
      </c>
      <c r="E31" s="44">
        <f>IF(Προσ!D14=0,IF(Προσ!D22=0,IF(Προσ!D32=0,IF(Προσ!D42=0,0,Προσ!D42),Προσ!D32),Προσ!D22),Προσ!D14)</f>
        <v>26</v>
      </c>
      <c r="F31" s="45">
        <f>IF(Προσ!E14=0,IF(Προσ!E22=0,IF(Προσ!E32=0,IF(Προσ!E42=0,0,Προσ!E42),Προσ!E32),Προσ!E22),Προσ!E14)</f>
        <v>14</v>
      </c>
      <c r="G31" s="1"/>
      <c r="H31" s="114" t="str">
        <f>+D31</f>
        <v>5ο Επιστημονικό Πεδίο</v>
      </c>
      <c r="I31" s="115"/>
      <c r="J31" s="95">
        <f>+IF(D31=" ",0,(F23*8+E31+F31)*100)</f>
        <v>20000</v>
      </c>
    </row>
    <row r="32" spans="3:10" ht="18">
      <c r="C32" s="143"/>
      <c r="D32" s="43"/>
      <c r="E32" s="44" t="str">
        <f>IF(Προσ!D23=" ",IF(Προσ!D33=" ",IF(Προσ!D43=" "," ",Προσ!D43),Προσ!D33),Προσ!D23)</f>
        <v> </v>
      </c>
      <c r="F32" s="45" t="str">
        <f>IF(Προσ!E23=" ",IF(Προσ!E33=" ",IF(Προσ!E43=" "," ",Προσ!E43),Προσ!E33),Προσ!E23)</f>
        <v> </v>
      </c>
      <c r="G32" s="1"/>
      <c r="H32" s="53"/>
      <c r="I32" s="54"/>
      <c r="J32" s="96"/>
    </row>
    <row r="33" spans="3:10" ht="18.75" thickBot="1">
      <c r="C33" s="143"/>
      <c r="D33" s="47" t="str">
        <f>IF(Προσ!C24=" ",IF(Προσ!C34=" ",IF(Προσ!C44=" "," ",Προσ!C44),Προσ!C34),Προσ!C24)</f>
        <v> </v>
      </c>
      <c r="E33" s="48">
        <f>IF(Προσ!D24=0,IF(Προσ!D34=0,IF(Προσ!D44=0,0,Προσ!D44),Προσ!D34),Προσ!D24)</f>
        <v>0</v>
      </c>
      <c r="F33" s="49">
        <f>IF(Προσ!E24=0,IF(Προσ!E34=0,IF(Προσ!E44=0,0,Προσ!E44),Προσ!E34),Προσ!E24)</f>
        <v>0</v>
      </c>
      <c r="G33" s="1"/>
      <c r="H33" s="116" t="str">
        <f>+D33</f>
        <v> </v>
      </c>
      <c r="I33" s="117"/>
      <c r="J33" s="102">
        <f>+IF(D33=" ",0,(F23*8+E33+F33)*100)</f>
        <v>0</v>
      </c>
    </row>
    <row r="34" spans="3:10" ht="12" customHeight="1" thickTop="1">
      <c r="C34" s="1"/>
      <c r="D34" s="1"/>
      <c r="E34" s="1"/>
      <c r="F34" s="1"/>
      <c r="G34" s="1"/>
      <c r="H34" s="1"/>
      <c r="I34" s="1"/>
      <c r="J34" s="1"/>
    </row>
    <row r="35" spans="3:10" ht="10.5" customHeight="1">
      <c r="C35" s="77"/>
      <c r="D35" s="1"/>
      <c r="E35" s="1"/>
      <c r="F35" s="1"/>
      <c r="G35" s="1"/>
      <c r="H35" s="1"/>
      <c r="I35" s="1"/>
      <c r="J35" s="1"/>
    </row>
    <row r="36" ht="13.5" customHeight="1"/>
  </sheetData>
  <sheetProtection/>
  <protectedRanges>
    <protectedRange sqref="E5 E7 E13 E14 E16 E17 E18 E19 E21" name="Περιοχή1"/>
  </protectedRanges>
  <mergeCells count="14">
    <mergeCell ref="C26:C33"/>
    <mergeCell ref="H27:I27"/>
    <mergeCell ref="H29:I29"/>
    <mergeCell ref="H31:I31"/>
    <mergeCell ref="H33:I33"/>
    <mergeCell ref="D25:F25"/>
    <mergeCell ref="H25:J25"/>
    <mergeCell ref="D12:E12"/>
    <mergeCell ref="D23:E23"/>
    <mergeCell ref="H23:I23"/>
    <mergeCell ref="C3:J3"/>
    <mergeCell ref="D9:G9"/>
    <mergeCell ref="C11:C12"/>
    <mergeCell ref="G5:H7"/>
  </mergeCells>
  <printOptions/>
  <pageMargins left="0.3" right="0.46" top="0.49" bottom="0.49" header="0.5" footer="0.5"/>
  <pageSetup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E44"/>
  <sheetViews>
    <sheetView showZeros="0" workbookViewId="0" topLeftCell="A3">
      <selection activeCell="C15" sqref="C15"/>
    </sheetView>
  </sheetViews>
  <sheetFormatPr defaultColWidth="9.140625" defaultRowHeight="12.75"/>
  <cols>
    <col min="2" max="2" width="13.7109375" style="0" customWidth="1"/>
    <col min="3" max="3" width="26.421875" style="0" customWidth="1"/>
    <col min="4" max="5" width="21.7109375" style="0" customWidth="1"/>
  </cols>
  <sheetData>
    <row r="1" ht="12.75">
      <c r="A1" t="s">
        <v>21</v>
      </c>
    </row>
    <row r="8" ht="13.5" thickBot="1"/>
    <row r="9" spans="2:5" ht="13.5" thickTop="1">
      <c r="B9" s="137" t="s">
        <v>10</v>
      </c>
      <c r="C9" s="10"/>
      <c r="D9" s="21" t="str">
        <f>IF('Με Βαθμό Πρόσβασης Μαθήματος'!E5=1,"Αρχαία x 1,3"," ")</f>
        <v>Αρχαία x 1,3</v>
      </c>
      <c r="E9" s="26" t="str">
        <f>IF('Με Βαθμό Πρόσβασης Μαθήματος'!E5=1,"Ιστορία x 0,7"," ")</f>
        <v>Ιστορία x 0,7</v>
      </c>
    </row>
    <row r="10" spans="2:5" ht="13.5" thickBot="1">
      <c r="B10" s="137"/>
      <c r="C10" s="12" t="str">
        <f>IF('Με Βαθμό Πρόσβασης Μαθήματος'!E5=1,"1ο Επιστημονικό Πεδίο"," ")</f>
        <v>1ο Επιστημονικό Πεδίο</v>
      </c>
      <c r="D10" s="22">
        <f>+IF(D9=" ",0,'Με Βαθμό Πρόσβασης Μαθήματος'!E16*1.3)</f>
        <v>26</v>
      </c>
      <c r="E10" s="27">
        <f>+IF(E9=" ",0,'Με Βαθμό Πρόσβασης Μαθήματος'!E17*0.7)</f>
        <v>14</v>
      </c>
    </row>
    <row r="11" spans="2:5" ht="12.75">
      <c r="B11" s="137"/>
      <c r="C11" s="17"/>
      <c r="D11" s="23" t="str">
        <f>IF(C12=" "," ",IF('Με Βαθμό Πρόσβασης Μαθήματος'!E7=1," ",IF('Με Βαθμό Πρόσβασης Μαθήματος'!E7=2,"Μαθηματ &amp; Στ. Στ x 0,9",IF('Με Βαθμό Πρόσβασης Μαθήματος'!E7=3,"Βιολογία x 0,9"," "))))</f>
        <v>Μαθηματ &amp; Στ. Στ x 0,9</v>
      </c>
      <c r="E11" s="28" t="str">
        <f>IF(C12=" "," ",IF('Με Βαθμό Πρόσβασης Μαθήματος'!E7=1," ",IF('Με Βαθμό Πρόσβασης Μαθήματος'!E7=2,"Νεοελ Γλώσσα x 0,4",IF('Με Βαθμό Πρόσβασης Μαθήματος'!E7=3,"Νεοελ Γλώσσα x 0,4"," "))))</f>
        <v>Νεοελ Γλώσσα x 0,4</v>
      </c>
    </row>
    <row r="12" spans="2:5" ht="13.5" thickBot="1">
      <c r="B12" s="137"/>
      <c r="C12" s="19" t="str">
        <f>IF('Με Βαθμό Πρόσβασης Μαθήματος'!E5&lt;&gt;1," ",IF('Με Βαθμό Πρόσβασης Μαθήματος'!E7=1," ",IF('Με Βαθμό Πρόσβασης Μαθήματος'!E7=2,"2ο,4ο Επιστημονικό Πεδίο",IF('Με Βαθμό Πρόσβασης Μαθήματος'!E7=3,"3ο Επιστημονικό Πεδίο"," "))))</f>
        <v>2ο,4ο Επιστημονικό Πεδίο</v>
      </c>
      <c r="D12" s="29">
        <f>IF(D11=" ",0,'Με Βαθμό Πρόσβασης Μαθήματος'!E14*0.9)</f>
        <v>18</v>
      </c>
      <c r="E12" s="20">
        <f>IF(E11=" ",0,'Με Βαθμό Πρόσβασης Μαθήματος'!E13*0.4)</f>
        <v>8</v>
      </c>
    </row>
    <row r="13" spans="2:5" ht="12.75">
      <c r="B13" s="137"/>
      <c r="C13" s="24"/>
      <c r="D13" s="30" t="str">
        <f>IF(C14=" "," ",IF('Με Βαθμό Πρόσβασης Μαθήματος'!J21=" "," ","Αρχ. Οικονομ. Θ. x 1,3"))</f>
        <v>Αρχ. Οικονομ. Θ. x 1,3</v>
      </c>
      <c r="E13" s="14" t="str">
        <f>IF(C14=" "," ",IF('Με Βαθμό Πρόσβασης Μαθήματος'!J21=" "," ","Μαθηματ &amp; Στ. Στ x 0,7"))</f>
        <v>Μαθηματ &amp; Στ. Στ x 0,7</v>
      </c>
    </row>
    <row r="14" spans="2:5" ht="13.5" thickBot="1">
      <c r="B14" s="137"/>
      <c r="C14" s="41" t="str">
        <f>IF('Με Βαθμό Πρόσβασης Μαθήματος'!E5&lt;&gt;1," ",IF('Με Βαθμό Πρόσβασης Μαθήματος'!E7&lt;&gt;2," ",IF('Με Βαθμό Πρόσβασης Μαθήματος'!E21=0," ","5ο Επιστημονικό Πεδίο")))</f>
        <v>5ο Επιστημονικό Πεδίο</v>
      </c>
      <c r="D14" s="42">
        <f>IF(D13=" ",0,'Με Βαθμό Πρόσβασης Μαθήματος'!E21*1.3)</f>
        <v>26</v>
      </c>
      <c r="E14" s="15">
        <f>IF(E13=" ",0,'Με Βαθμό Πρόσβασης Μαθήματος'!E14*0.7)</f>
        <v>14</v>
      </c>
    </row>
    <row r="15" ht="13.5" thickTop="1"/>
    <row r="16" ht="13.5" thickBot="1"/>
    <row r="17" spans="2:5" ht="13.5" customHeight="1" thickTop="1">
      <c r="B17" s="137" t="s">
        <v>11</v>
      </c>
      <c r="C17" s="38"/>
      <c r="D17" s="31" t="str">
        <f>IF(C18=" "," ",IF('Με Βαθμό Πρόσβασης Μαθήματος'!E5=2,"Μαθηματικά x 1,3"," "))</f>
        <v> </v>
      </c>
      <c r="E17" s="11" t="str">
        <f>IF(C18=" "," ",IF('Με Βαθμό Πρόσβασης Μαθήματος'!E5=2,"Φυσική x 0,7"," "))</f>
        <v> </v>
      </c>
    </row>
    <row r="18" spans="2:5" ht="13.5" thickBot="1">
      <c r="B18" s="137"/>
      <c r="C18" s="39" t="str">
        <f>IF('Με Βαθμό Πρόσβασης Μαθήματος'!E5=2,"2ο, 4ο Επιστημονικό Πεδίο"," ")</f>
        <v> </v>
      </c>
      <c r="D18" s="32">
        <f>+IF(D17=" ",0,'Με Βαθμό Πρόσβασης Μαθήματος'!E16*1.3)</f>
        <v>0</v>
      </c>
      <c r="E18" s="13">
        <f>+IF(E17=" ",0,'Με Βαθμό Πρόσβασης Μαθήματος'!E17*0.7)</f>
        <v>0</v>
      </c>
    </row>
    <row r="19" spans="2:5" ht="12.75">
      <c r="B19" s="137"/>
      <c r="C19" s="40"/>
      <c r="D19" s="33" t="str">
        <f>IF(C20=" "," ",IF('Με Βαθμό Πρόσβασης Μαθήματος'!E5=2,"Βιολογία x 1,3"," "))</f>
        <v> </v>
      </c>
      <c r="E19" s="16" t="str">
        <f>IF(C20=" "," ",IF('Με Βαθμό Πρόσβασης Μαθήματος'!E5=2,"Χημεία x 0,7"," "))</f>
        <v> </v>
      </c>
    </row>
    <row r="20" spans="2:5" ht="13.5" thickBot="1">
      <c r="B20" s="137"/>
      <c r="C20" s="39" t="str">
        <f>IF('Με Βαθμό Πρόσβασης Μαθήματος'!E5&lt;&gt;2," ",IF('Με Βαθμό Πρόσβασης Μαθήματος'!E5=2,"3ο Επιστημονικό Πεδίο"," "))</f>
        <v> </v>
      </c>
      <c r="D20" s="32">
        <f>+IF(D19=" ",0,'Με Βαθμό Πρόσβασης Μαθήματος'!E19*1.3)</f>
        <v>0</v>
      </c>
      <c r="E20" s="20">
        <f>+IF(E19=" ",0,'Με Βαθμό Πρόσβασης Μαθήματος'!E18*0.7)</f>
        <v>0</v>
      </c>
    </row>
    <row r="21" spans="2:5" ht="12.75">
      <c r="B21" s="137"/>
      <c r="C21" s="24"/>
      <c r="D21" s="34" t="str">
        <f>IF(C22=" "," ",IF('Με Βαθμό Πρόσβασης Μαθήματος'!E7=2," ",IF('Με Βαθμό Πρόσβασης Μαθήματος'!E7=1,"Νεολ Γλώσσα x 0,9")))</f>
        <v> </v>
      </c>
      <c r="E21" s="14" t="str">
        <f>IF(C22=" "," ",IF('Με Βαθμό Πρόσβασης Μαθήματος'!E7=2," ",IF('Με Βαθμό Πρόσβασης Μαθήματος'!E7=1,"Ιστορία x 0,4")))</f>
        <v> </v>
      </c>
    </row>
    <row r="22" spans="2:5" ht="13.5" thickBot="1">
      <c r="B22" s="137"/>
      <c r="C22" s="25" t="str">
        <f>IF('Με Βαθμό Πρόσβασης Μαθήματος'!E5&lt;&gt;2," ",IF('Με Βαθμό Πρόσβασης Μαθήματος'!E7=2," ",IF('Με Βαθμό Πρόσβασης Μαθήματος'!E7=1,"1ο Επιστημονικό Πεδίο",IF('Με Βαθμό Πρόσβασης Μαθήματος'!E7=3," "," "))))</f>
        <v> </v>
      </c>
      <c r="D22" s="35">
        <f>IF(D21=" ",0,'Με Βαθμό Πρόσβασης Μαθήματος'!E13*0.9)</f>
        <v>0</v>
      </c>
      <c r="E22" s="13">
        <f>IF(E21=" ",0,'Με Βαθμό Πρόσβασης Μαθήματος'!E14*0.4)</f>
        <v>0</v>
      </c>
    </row>
    <row r="23" spans="2:5" ht="12.75">
      <c r="B23" s="137"/>
      <c r="C23" s="24"/>
      <c r="D23" s="36" t="str">
        <f>IF(C24=" "," ",IF('Με Βαθμό Πρόσβασης Μαθήματος'!J21=" "," ","Αρχ. Οικονομ. Θ. x 1,3"))</f>
        <v> </v>
      </c>
      <c r="E23" s="18" t="str">
        <f>IF(C24=" "," ",IF('Με Βαθμό Πρόσβασης Μαθήματος'!J21=" "," ","Μαθηματ &amp; Στ. Στ x 0,7"))</f>
        <v> </v>
      </c>
    </row>
    <row r="24" spans="2:5" ht="13.5" thickBot="1">
      <c r="B24" s="137"/>
      <c r="C24" s="41" t="str">
        <f>IF('Με Βαθμό Πρόσβασης Μαθήματος'!E5&lt;&gt;2," ",IF('Με Βαθμό Πρόσβασης Μαθήματος'!E7&lt;&gt;2," ",IF('Με Βαθμό Πρόσβασης Μαθήματος'!E21=0," ","5ο Επιστημονικό Πεδίο")))</f>
        <v> </v>
      </c>
      <c r="D24" s="37">
        <f>IF(D23=" ",0,'Με Βαθμό Πρόσβασης Μαθήματος'!E21*1.3)</f>
        <v>0</v>
      </c>
      <c r="E24" s="15">
        <f>IF(E23=" ",0,'Με Βαθμό Πρόσβασης Μαθήματος'!E14*0.7)</f>
        <v>0</v>
      </c>
    </row>
    <row r="25" ht="13.5" thickTop="1">
      <c r="B25" s="9"/>
    </row>
    <row r="26" ht="13.5" thickBot="1"/>
    <row r="27" spans="2:5" ht="13.5" thickTop="1">
      <c r="B27" s="138" t="s">
        <v>12</v>
      </c>
      <c r="C27" s="38"/>
      <c r="D27" s="31" t="str">
        <f>IF(C28=" "," ",IF('Με Βαθμό Πρόσβασης Μαθήματος'!E5=3,"Μαθηματικά x 1,3"," "))</f>
        <v> </v>
      </c>
      <c r="E27" s="11" t="str">
        <f>IF(C28=" "," ",IF('Με Βαθμό Πρόσβασης Μαθήματος'!E5=3,"Φυσική x 0,7"," "))</f>
        <v> </v>
      </c>
    </row>
    <row r="28" spans="2:5" ht="13.5" thickBot="1">
      <c r="B28" s="138"/>
      <c r="C28" s="39" t="str">
        <f>IF('Με Βαθμό Πρόσβασης Μαθήματος'!E5=3,"2ο, 4ο Επιστημονικό Πεδίο"," ")</f>
        <v> </v>
      </c>
      <c r="D28" s="32">
        <f>+IF(D27=" ",0,'Με Βαθμό Πρόσβασης Μαθήματος'!E16*1.3)</f>
        <v>0</v>
      </c>
      <c r="E28" s="13">
        <f>+IF(E27=" ",0,'Με Βαθμό Πρόσβασης Μαθήματος'!E17*0.7)</f>
        <v>0</v>
      </c>
    </row>
    <row r="29" spans="2:5" ht="12.75">
      <c r="B29" s="138"/>
      <c r="C29" s="40"/>
      <c r="D29" s="33" t="str">
        <f>IF(C30=" "," ",IF('Με Βαθμό Πρόσβασης Μαθήματος'!E7=3,"Βιολογία x 0,9"," "))</f>
        <v> </v>
      </c>
      <c r="E29" s="16" t="str">
        <f>IF(C30=" "," ",IF('Με Βαθμό Πρόσβασης Μαθήματος'!E7=3,"Νεολ. Γλώσσα x 0,4"," "))</f>
        <v> </v>
      </c>
    </row>
    <row r="30" spans="2:5" ht="13.5" thickBot="1">
      <c r="B30" s="138"/>
      <c r="C30" s="39" t="str">
        <f>IF('Με Βαθμό Πρόσβασης Μαθήματος'!E5&lt;&gt;3," ",IF('Με Βαθμό Πρόσβασης Μαθήματος'!E7=3,"3ο Επιστημονικό Πεδίο"," "))</f>
        <v> </v>
      </c>
      <c r="D30" s="32">
        <f>+IF(D29=" ",0,'Με Βαθμό Πρόσβασης Μαθήματος'!E14*0.9)</f>
        <v>0</v>
      </c>
      <c r="E30" s="20">
        <f>+IF(E29=" ",0,'Με Βαθμό Πρόσβασης Μαθήματος'!E13*0.4)</f>
        <v>0</v>
      </c>
    </row>
    <row r="31" spans="2:5" ht="12.75">
      <c r="B31" s="138"/>
      <c r="C31" s="24"/>
      <c r="D31" s="34" t="str">
        <f>IF(C32=" "," ",IF('Με Βαθμό Πρόσβασης Μαθήματος'!E7=1,"Νεολ Γλώσσα x 0,9"," "))</f>
        <v> </v>
      </c>
      <c r="E31" s="14" t="str">
        <f>IF(C32=" "," ",IF('Με Βαθμό Πρόσβασης Μαθήματος'!E7=1,"Ιστορία x 0,4"," "))</f>
        <v> </v>
      </c>
    </row>
    <row r="32" spans="2:5" ht="13.5" thickBot="1">
      <c r="B32" s="138"/>
      <c r="C32" s="25" t="str">
        <f>IF('Με Βαθμό Πρόσβασης Μαθήματος'!E5&lt;&gt;3," ",IF('Με Βαθμό Πρόσβασης Μαθήματος'!E7=1,"1ο Επιστημονικό Πεδίο"," "))</f>
        <v> </v>
      </c>
      <c r="D32" s="35">
        <f>IF(D31=" ",0,'Με Βαθμό Πρόσβασης Μαθήματος'!E13*0.9)</f>
        <v>0</v>
      </c>
      <c r="E32" s="13">
        <f>IF(E31=" ",0,'Με Βαθμό Πρόσβασης Μαθήματος'!E14*0.4)</f>
        <v>0</v>
      </c>
    </row>
    <row r="33" spans="2:5" ht="12.75">
      <c r="B33" s="138"/>
      <c r="C33" s="24"/>
      <c r="D33" s="36" t="str">
        <f>IF(C34=" "," ",IF('Με Βαθμό Πρόσβασης Μαθήματος'!J21=" "," ","Αρχ. Οικονομ. Θ. x 1,3"))</f>
        <v> </v>
      </c>
      <c r="E33" s="18" t="str">
        <f>IF(C34=" "," ",IF('Με Βαθμό Πρόσβασης Μαθήματος'!J21=" "," ","Μαθηματ &amp; Στ. Στ x 0,7"))</f>
        <v> </v>
      </c>
    </row>
    <row r="34" spans="2:5" ht="13.5" thickBot="1">
      <c r="B34" s="138"/>
      <c r="C34" s="41" t="str">
        <f>IF('Με Βαθμό Πρόσβασης Μαθήματος'!E5&lt;&gt;3," ",IF('Με Βαθμό Πρόσβασης Μαθήματος'!E7&lt;&gt;2," ",IF('Με Βαθμό Πρόσβασης Μαθήματος'!E21=0," ","5ο Επιστημονικό Πεδίο")))</f>
        <v> </v>
      </c>
      <c r="D34" s="37">
        <f>IF(D33=" ",0,'Με Βαθμό Πρόσβασης Μαθήματος'!E21*1.3)</f>
        <v>0</v>
      </c>
      <c r="E34" s="15">
        <f>IF(E33=" ",0,'Με Βαθμό Πρόσβασης Μαθήματος'!E14*0.7)</f>
        <v>0</v>
      </c>
    </row>
    <row r="35" ht="13.5" thickTop="1"/>
    <row r="36" ht="13.5" thickBot="1"/>
    <row r="37" spans="2:5" ht="13.5" thickTop="1">
      <c r="B37" s="138" t="s">
        <v>13</v>
      </c>
      <c r="C37" s="38"/>
      <c r="D37" s="31" t="str">
        <f>IF(C38=" "," ",IF('Με Βαθμό Πρόσβασης Μαθήματος'!E5=4,"Μαθηματικά x 1,3"," "))</f>
        <v> </v>
      </c>
      <c r="E37" s="11" t="str">
        <f>IF(C38=" "," ",IF('Με Βαθμό Πρόσβασης Μαθήματος'!E5=4,"Φυσική x 0,7"," "))</f>
        <v> </v>
      </c>
    </row>
    <row r="38" spans="2:5" ht="13.5" thickBot="1">
      <c r="B38" s="138"/>
      <c r="C38" s="39" t="str">
        <f>IF('Με Βαθμό Πρόσβασης Μαθήματος'!E5=4,"2ο, 4ο Επιστημονικό Πεδίο"," ")</f>
        <v> </v>
      </c>
      <c r="D38" s="32">
        <f>+IF(D37=" ",0,'Με Βαθμό Πρόσβασης Μαθήματος'!E16*1.3)</f>
        <v>0</v>
      </c>
      <c r="E38" s="13">
        <f>+IF(E37=" ",0,'Με Βαθμό Πρόσβασης Μαθήματος'!E17*0.7)</f>
        <v>0</v>
      </c>
    </row>
    <row r="39" spans="2:5" ht="12.75">
      <c r="B39" s="138"/>
      <c r="C39" s="40"/>
      <c r="D39" s="33" t="str">
        <f>IF(C40=" "," ",IF('Με Βαθμό Πρόσβασης Μαθήματος'!E7=3,"Βιολογία x 0,9"," "))</f>
        <v> </v>
      </c>
      <c r="E39" s="16" t="str">
        <f>IF(C40=" "," ",IF('Με Βαθμό Πρόσβασης Μαθήματος'!E7=3,"Νεολ. Γλώσσα x 0,4"," "))</f>
        <v> </v>
      </c>
    </row>
    <row r="40" spans="2:5" ht="13.5" thickBot="1">
      <c r="B40" s="138"/>
      <c r="C40" s="39" t="str">
        <f>IF('Με Βαθμό Πρόσβασης Μαθήματος'!E5&lt;&gt;4," ",IF('Με Βαθμό Πρόσβασης Μαθήματος'!E7=3,"3ο Επιστημονικό Πεδίο"," "))</f>
        <v> </v>
      </c>
      <c r="D40" s="32">
        <f>+IF(D39=" ",0,'Με Βαθμό Πρόσβασης Μαθήματος'!E14*0.9)</f>
        <v>0</v>
      </c>
      <c r="E40" s="20">
        <f>+IF(E39=" ",0,'Με Βαθμό Πρόσβασης Μαθήματος'!E13*0.4)</f>
        <v>0</v>
      </c>
    </row>
    <row r="41" spans="2:5" ht="12.75">
      <c r="B41" s="138"/>
      <c r="C41" s="24"/>
      <c r="D41" s="34" t="str">
        <f>IF(C42=" "," ",IF('Με Βαθμό Πρόσβασης Μαθήματος'!E7=1,"Νεολ Γλώσσα x 0,9"," "))</f>
        <v> </v>
      </c>
      <c r="E41" s="14" t="str">
        <f>IF(C42=" "," ",IF('Με Βαθμό Πρόσβασης Μαθήματος'!E7=1,"Ιστορία x 0,4"," "))</f>
        <v> </v>
      </c>
    </row>
    <row r="42" spans="2:5" ht="13.5" thickBot="1">
      <c r="B42" s="138"/>
      <c r="C42" s="25" t="str">
        <f>IF('Με Βαθμό Πρόσβασης Μαθήματος'!E5&lt;&gt;4," ",IF('Με Βαθμό Πρόσβασης Μαθήματος'!E7=1,"1ο Επιστημονικό Πεδίο"," "))</f>
        <v> </v>
      </c>
      <c r="D42" s="35">
        <f>IF(D41=" ",0,'Με Βαθμό Πρόσβασης Μαθήματος'!E13*0.9)</f>
        <v>0</v>
      </c>
      <c r="E42" s="13">
        <f>IF(E41=" ",0,'Με Βαθμό Πρόσβασης Μαθήματος'!E14*0.4)</f>
        <v>0</v>
      </c>
    </row>
    <row r="43" spans="2:5" ht="12.75">
      <c r="B43" s="138"/>
      <c r="C43" s="24"/>
      <c r="D43" s="36" t="str">
        <f>IF(C44=" "," ",IF('Με Βαθμό Πρόσβασης Μαθήματος'!J21=" "," ","Αρχ. Οικονομ. Θ. x 1,3"))</f>
        <v> </v>
      </c>
      <c r="E43" s="18" t="str">
        <f>IF(C44=" "," ",IF('Με Βαθμό Πρόσβασης Μαθήματος'!J21=" "," ","Μαθηματ &amp; Στ. Στ x 0,7"))</f>
        <v> </v>
      </c>
    </row>
    <row r="44" spans="2:5" ht="13.5" thickBot="1">
      <c r="B44" s="138"/>
      <c r="C44" s="41" t="str">
        <f>IF('Με Βαθμό Πρόσβασης Μαθήματος'!E5&lt;&gt;4," ",IF('Με Βαθμό Πρόσβασης Μαθήματος'!E7&lt;&gt;2," ",IF('Με Βαθμό Πρόσβασης Μαθήματος'!E21=0," ","5ο Επιστημονικό Πεδίο")))</f>
        <v> </v>
      </c>
      <c r="D44" s="37">
        <f>IF(D43=" ",0,'Με Βαθμό Πρόσβασης Μαθήματος'!E21*1.3)</f>
        <v>0</v>
      </c>
      <c r="E44" s="15">
        <f>IF(E43=" ",0,'Με Βαθμό Πρόσβασης Μαθήματος'!E14*0.7)</f>
        <v>0</v>
      </c>
    </row>
    <row r="45" ht="13.5" thickTop="1"/>
  </sheetData>
  <sheetProtection password="DE9A" sheet="1" objects="1" scenarios="1"/>
  <mergeCells count="4">
    <mergeCell ref="B9:B14"/>
    <mergeCell ref="B17:B24"/>
    <mergeCell ref="B27:B34"/>
    <mergeCell ref="B37:B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Thetakis</dc:creator>
  <cp:keywords/>
  <dc:description/>
  <cp:lastModifiedBy>ΓΡΑΣΕΠ</cp:lastModifiedBy>
  <cp:lastPrinted>2005-12-01T08:15:13Z</cp:lastPrinted>
  <dcterms:created xsi:type="dcterms:W3CDTF">2005-11-04T14:55:33Z</dcterms:created>
  <dcterms:modified xsi:type="dcterms:W3CDTF">2006-05-04T12:57:28Z</dcterms:modified>
  <cp:category/>
  <cp:version/>
  <cp:contentType/>
  <cp:contentStatus/>
</cp:coreProperties>
</file>